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9630" windowHeight="5130"/>
  </bookViews>
  <sheets>
    <sheet name="LEVIES_PAY 2013" sheetId="1" r:id="rId1"/>
  </sheets>
  <definedNames>
    <definedName name="_xlnm._FilterDatabase" localSheetId="0" hidden="1">'LEVIES_PAY 2013'!$A$2:$DQ$153</definedName>
    <definedName name="_Key1" hidden="1">'LEVIES_PAY 2013'!#REF!</definedName>
    <definedName name="_Order1" hidden="1">255</definedName>
    <definedName name="_Sort" hidden="1">'LEVIES_PAY 2013'!$A$3:$U$153</definedName>
    <definedName name="_xlnm.Print_Area" localSheetId="0">'LEVIES_PAY 2013'!$B$3:$U$28</definedName>
    <definedName name="Print_Area_MI" localSheetId="0">'LEVIES_PAY 2013'!$A$3:$U$153</definedName>
    <definedName name="_xlnm.Print_Titles" localSheetId="0">'LEVIES_PAY 2013'!$A:$A,'LEVIES_PAY 2013'!#REF!</definedName>
    <definedName name="Print_Titles_MI" localSheetId="0">'LEVIES_PAY 2013'!#REF!</definedName>
  </definedNames>
  <calcPr calcId="145621"/>
</workbook>
</file>

<file path=xl/calcChain.xml><?xml version="1.0" encoding="utf-8"?>
<calcChain xmlns="http://schemas.openxmlformats.org/spreadsheetml/2006/main">
  <c r="D100" i="1" l="1"/>
  <c r="C100" i="1"/>
  <c r="B100" i="1"/>
  <c r="D34" i="1"/>
  <c r="C34" i="1"/>
  <c r="B34" i="1"/>
  <c r="D5" i="1"/>
  <c r="C5" i="1"/>
  <c r="B5" i="1"/>
  <c r="E136" i="1"/>
  <c r="D108" i="1"/>
  <c r="C108" i="1"/>
  <c r="B108" i="1"/>
  <c r="D26" i="1"/>
  <c r="C26" i="1"/>
  <c r="B26" i="1"/>
  <c r="D72" i="1"/>
  <c r="C72" i="1"/>
  <c r="B72" i="1"/>
  <c r="D114" i="1"/>
  <c r="C114" i="1"/>
  <c r="B114" i="1"/>
  <c r="D39" i="1"/>
  <c r="C39" i="1"/>
  <c r="B39" i="1"/>
  <c r="D117" i="1"/>
  <c r="C117" i="1"/>
  <c r="B117" i="1"/>
  <c r="D152" i="1"/>
  <c r="C152" i="1"/>
  <c r="B152" i="1"/>
  <c r="D129" i="1"/>
  <c r="C129" i="1"/>
  <c r="B129" i="1"/>
  <c r="D115" i="1"/>
  <c r="C115" i="1"/>
  <c r="B115" i="1"/>
  <c r="D74" i="1"/>
  <c r="C74" i="1"/>
  <c r="B74" i="1"/>
  <c r="D59" i="1"/>
  <c r="C59" i="1"/>
  <c r="B59" i="1"/>
  <c r="D86" i="1"/>
  <c r="C86" i="1"/>
  <c r="B86" i="1"/>
  <c r="D15" i="1"/>
  <c r="C15" i="1"/>
  <c r="B15" i="1"/>
  <c r="D133" i="1"/>
  <c r="C133" i="1"/>
  <c r="B133" i="1"/>
  <c r="D121" i="1"/>
  <c r="C121" i="1"/>
  <c r="B121" i="1"/>
  <c r="D50" i="1"/>
  <c r="C50" i="1"/>
  <c r="B50" i="1"/>
  <c r="D92" i="1"/>
  <c r="C92" i="1"/>
  <c r="B92" i="1"/>
  <c r="D23" i="1"/>
  <c r="C23" i="1"/>
  <c r="B23" i="1"/>
  <c r="F67" i="1"/>
  <c r="E67" i="1"/>
  <c r="D67" i="1"/>
  <c r="C67" i="1"/>
  <c r="B67" i="1"/>
  <c r="D107" i="1"/>
  <c r="C107" i="1"/>
  <c r="B107" i="1"/>
  <c r="D116" i="1"/>
  <c r="C116" i="1"/>
  <c r="B116" i="1"/>
  <c r="D90" i="1"/>
  <c r="C90" i="1"/>
  <c r="B90" i="1"/>
  <c r="D83" i="1"/>
  <c r="C83" i="1"/>
  <c r="B83" i="1"/>
  <c r="D35" i="1"/>
  <c r="C35" i="1"/>
  <c r="B35" i="1"/>
  <c r="D7" i="1"/>
  <c r="C7" i="1"/>
  <c r="B7" i="1"/>
  <c r="D144" i="1"/>
  <c r="C144" i="1"/>
  <c r="B144" i="1"/>
  <c r="D134" i="1"/>
  <c r="C134" i="1"/>
  <c r="B134" i="1"/>
  <c r="D96" i="1"/>
  <c r="C96" i="1"/>
  <c r="B96" i="1"/>
  <c r="D56" i="1"/>
  <c r="C56" i="1"/>
  <c r="B56" i="1"/>
  <c r="D19" i="1"/>
  <c r="C19" i="1"/>
  <c r="B19" i="1"/>
  <c r="D48" i="1"/>
  <c r="C48" i="1"/>
  <c r="B48" i="1"/>
  <c r="D25" i="1"/>
  <c r="C25" i="1"/>
  <c r="B25" i="1"/>
  <c r="D125" i="1"/>
  <c r="C125" i="1"/>
  <c r="B125" i="1"/>
  <c r="D22" i="1"/>
  <c r="C22" i="1"/>
  <c r="B22" i="1"/>
  <c r="D60" i="1"/>
  <c r="C60" i="1"/>
  <c r="B60" i="1"/>
  <c r="D14" i="1"/>
  <c r="C14" i="1"/>
  <c r="B14" i="1"/>
  <c r="D43" i="1"/>
  <c r="C43" i="1"/>
  <c r="B43" i="1"/>
  <c r="D17" i="1"/>
  <c r="C17" i="1"/>
  <c r="B17" i="1"/>
  <c r="D32" i="1"/>
  <c r="C32" i="1"/>
  <c r="B32" i="1"/>
  <c r="D8" i="1"/>
  <c r="C8" i="1"/>
  <c r="B8" i="1"/>
  <c r="D131" i="1"/>
  <c r="C131" i="1"/>
  <c r="B131" i="1"/>
  <c r="D102" i="1"/>
  <c r="C102" i="1"/>
  <c r="B102" i="1"/>
  <c r="D99" i="1"/>
  <c r="C99" i="1"/>
  <c r="B99" i="1"/>
  <c r="D45" i="1"/>
  <c r="C45" i="1"/>
  <c r="B45" i="1"/>
  <c r="D142" i="1"/>
  <c r="C142" i="1"/>
  <c r="B142" i="1"/>
  <c r="D54" i="1"/>
  <c r="C54" i="1"/>
  <c r="B54" i="1"/>
  <c r="D78" i="1"/>
  <c r="C78" i="1"/>
  <c r="B78" i="1"/>
  <c r="D135" i="1"/>
  <c r="C135" i="1"/>
  <c r="B135" i="1"/>
  <c r="D148" i="1"/>
  <c r="C148" i="1"/>
  <c r="B148" i="1"/>
  <c r="D29" i="1"/>
  <c r="C29" i="1"/>
  <c r="B29" i="1"/>
  <c r="D137" i="1"/>
  <c r="C137" i="1"/>
  <c r="B137" i="1"/>
  <c r="D6" i="1"/>
  <c r="C6" i="1"/>
  <c r="B6" i="1"/>
  <c r="D69" i="1"/>
  <c r="C69" i="1"/>
  <c r="B69" i="1"/>
  <c r="D55" i="1"/>
  <c r="C55" i="1"/>
  <c r="B55" i="1"/>
  <c r="D37" i="1"/>
  <c r="C37" i="1"/>
  <c r="B37" i="1"/>
  <c r="D122" i="1"/>
  <c r="C122" i="1"/>
  <c r="B122" i="1"/>
  <c r="D21" i="1"/>
  <c r="C21" i="1"/>
  <c r="B21" i="1"/>
  <c r="D118" i="1"/>
  <c r="C118" i="1"/>
  <c r="B118" i="1"/>
  <c r="D16" i="1"/>
  <c r="C16" i="1"/>
  <c r="B16" i="1"/>
  <c r="D12" i="1"/>
  <c r="C12" i="1"/>
  <c r="B12" i="1"/>
  <c r="D79" i="1"/>
  <c r="C79" i="1"/>
  <c r="B79" i="1"/>
  <c r="D76" i="1"/>
  <c r="C76" i="1"/>
  <c r="B76" i="1"/>
  <c r="D146" i="1"/>
  <c r="C146" i="1"/>
  <c r="B146" i="1"/>
  <c r="D128" i="1"/>
  <c r="C128" i="1"/>
  <c r="B128" i="1"/>
  <c r="U132" i="1" l="1"/>
  <c r="T132" i="1"/>
  <c r="S132" i="1"/>
  <c r="U120" i="1"/>
  <c r="T120" i="1"/>
  <c r="S120" i="1"/>
  <c r="U41" i="1"/>
  <c r="T41" i="1"/>
  <c r="S41" i="1"/>
  <c r="U153" i="1"/>
  <c r="T153" i="1"/>
  <c r="S153" i="1"/>
  <c r="U58" i="1"/>
  <c r="T58" i="1"/>
  <c r="S58" i="1"/>
  <c r="U100" i="1"/>
  <c r="T100" i="1"/>
  <c r="S100" i="1"/>
  <c r="U119" i="1"/>
  <c r="T119" i="1"/>
  <c r="S119" i="1"/>
  <c r="U34" i="1"/>
  <c r="T34" i="1"/>
  <c r="S34" i="1"/>
  <c r="U46" i="1"/>
  <c r="T46" i="1"/>
  <c r="S46" i="1"/>
  <c r="U13" i="1"/>
  <c r="T13" i="1"/>
  <c r="S13" i="1"/>
  <c r="U5" i="1"/>
  <c r="T5" i="1"/>
  <c r="S5" i="1"/>
  <c r="U136" i="1"/>
  <c r="T136" i="1"/>
  <c r="S136" i="1"/>
  <c r="U108" i="1"/>
  <c r="T108" i="1"/>
  <c r="S108" i="1"/>
  <c r="U91" i="1"/>
  <c r="T91" i="1"/>
  <c r="S91" i="1"/>
  <c r="U26" i="1"/>
  <c r="T26" i="1"/>
  <c r="S26" i="1"/>
  <c r="U31" i="1"/>
  <c r="T31" i="1"/>
  <c r="S31" i="1"/>
  <c r="U150" i="1"/>
  <c r="T150" i="1"/>
  <c r="S150" i="1"/>
  <c r="U4" i="1"/>
  <c r="T4" i="1"/>
  <c r="S4" i="1"/>
  <c r="U127" i="1"/>
  <c r="T127" i="1"/>
  <c r="S127" i="1"/>
  <c r="U105" i="1"/>
  <c r="T105" i="1"/>
  <c r="S105" i="1"/>
  <c r="U72" i="1"/>
  <c r="T72" i="1"/>
  <c r="S72" i="1"/>
  <c r="U114" i="1"/>
  <c r="T114" i="1"/>
  <c r="S114" i="1"/>
  <c r="U39" i="1"/>
  <c r="T39" i="1"/>
  <c r="S39" i="1"/>
  <c r="U117" i="1"/>
  <c r="T117" i="1"/>
  <c r="S117" i="1"/>
  <c r="U152" i="1"/>
  <c r="T152" i="1"/>
  <c r="S152" i="1"/>
  <c r="U149" i="1"/>
  <c r="T149" i="1"/>
  <c r="S149" i="1"/>
  <c r="U129" i="1"/>
  <c r="T129" i="1"/>
  <c r="S129" i="1"/>
  <c r="U115" i="1"/>
  <c r="T115" i="1"/>
  <c r="S115" i="1"/>
  <c r="U123" i="1"/>
  <c r="T123" i="1"/>
  <c r="S123" i="1"/>
  <c r="U74" i="1"/>
  <c r="T74" i="1"/>
  <c r="S74" i="1"/>
  <c r="U59" i="1"/>
  <c r="T59" i="1"/>
  <c r="S59" i="1"/>
  <c r="U86" i="1"/>
  <c r="T86" i="1"/>
  <c r="S86" i="1"/>
  <c r="U15" i="1"/>
  <c r="T15" i="1"/>
  <c r="S15" i="1"/>
  <c r="U138" i="1"/>
  <c r="T138" i="1"/>
  <c r="S138" i="1"/>
  <c r="U113" i="1"/>
  <c r="T113" i="1"/>
  <c r="S113" i="1"/>
  <c r="U103" i="1"/>
  <c r="T103" i="1"/>
  <c r="S103" i="1"/>
  <c r="U71" i="1"/>
  <c r="T71" i="1"/>
  <c r="S71" i="1"/>
  <c r="U40" i="1"/>
  <c r="T40" i="1"/>
  <c r="S40" i="1"/>
  <c r="U30" i="1"/>
  <c r="T30" i="1"/>
  <c r="S30" i="1"/>
  <c r="U53" i="1"/>
  <c r="T53" i="1"/>
  <c r="S53" i="1"/>
  <c r="U145" i="1"/>
  <c r="T145" i="1"/>
  <c r="S145" i="1"/>
  <c r="U133" i="1"/>
  <c r="T133" i="1"/>
  <c r="S133" i="1"/>
  <c r="U121" i="1"/>
  <c r="T121" i="1"/>
  <c r="S121" i="1"/>
  <c r="U57" i="1"/>
  <c r="T57" i="1"/>
  <c r="S57" i="1"/>
  <c r="U36" i="1"/>
  <c r="T36" i="1"/>
  <c r="S36" i="1"/>
  <c r="U18" i="1"/>
  <c r="T18" i="1"/>
  <c r="S18" i="1"/>
  <c r="U10" i="1"/>
  <c r="T10" i="1"/>
  <c r="S10" i="1"/>
  <c r="U75" i="1"/>
  <c r="T75" i="1"/>
  <c r="S75" i="1"/>
  <c r="U147" i="1"/>
  <c r="T147" i="1"/>
  <c r="S147" i="1"/>
  <c r="U51" i="1"/>
  <c r="T51" i="1"/>
  <c r="S51" i="1"/>
  <c r="U95" i="1"/>
  <c r="T95" i="1"/>
  <c r="S95" i="1"/>
  <c r="U84" i="1"/>
  <c r="T84" i="1"/>
  <c r="S84" i="1"/>
  <c r="U20" i="1"/>
  <c r="T20" i="1"/>
  <c r="S20" i="1"/>
  <c r="U88" i="1"/>
  <c r="T88" i="1"/>
  <c r="S88" i="1"/>
  <c r="U50" i="1"/>
  <c r="T50" i="1"/>
  <c r="S50" i="1"/>
  <c r="U92" i="1"/>
  <c r="T92" i="1"/>
  <c r="S92" i="1"/>
  <c r="U101" i="1"/>
  <c r="T101" i="1"/>
  <c r="S101" i="1"/>
  <c r="U23" i="1"/>
  <c r="T23" i="1"/>
  <c r="S23" i="1"/>
  <c r="U89" i="1"/>
  <c r="T89" i="1"/>
  <c r="S89" i="1"/>
  <c r="U130" i="1"/>
  <c r="T130" i="1"/>
  <c r="S130" i="1"/>
  <c r="U87" i="1"/>
  <c r="T87" i="1"/>
  <c r="S87" i="1"/>
  <c r="U67" i="1"/>
  <c r="T67" i="1"/>
  <c r="S67" i="1"/>
  <c r="U24" i="1"/>
  <c r="T24" i="1"/>
  <c r="S24" i="1"/>
  <c r="U126" i="1"/>
  <c r="T126" i="1"/>
  <c r="S126" i="1"/>
  <c r="U85" i="1"/>
  <c r="T85" i="1"/>
  <c r="S85" i="1"/>
  <c r="U107" i="1"/>
  <c r="T107" i="1"/>
  <c r="S107" i="1"/>
  <c r="U116" i="1"/>
  <c r="T116" i="1"/>
  <c r="S116" i="1"/>
  <c r="U90" i="1"/>
  <c r="T90" i="1"/>
  <c r="S90" i="1"/>
  <c r="U28" i="1"/>
  <c r="T28" i="1"/>
  <c r="S28" i="1"/>
  <c r="U83" i="1"/>
  <c r="T83" i="1"/>
  <c r="S83" i="1"/>
  <c r="U35" i="1"/>
  <c r="T35" i="1"/>
  <c r="S35" i="1"/>
  <c r="U7" i="1"/>
  <c r="T7" i="1"/>
  <c r="S7" i="1"/>
  <c r="U80" i="1"/>
  <c r="T80" i="1"/>
  <c r="S80" i="1"/>
  <c r="U144" i="1"/>
  <c r="T144" i="1"/>
  <c r="S144" i="1"/>
  <c r="U81" i="1"/>
  <c r="T81" i="1"/>
  <c r="S81" i="1"/>
  <c r="U70" i="1"/>
  <c r="T70" i="1"/>
  <c r="S70" i="1"/>
  <c r="U134" i="1"/>
  <c r="T134" i="1"/>
  <c r="S134" i="1"/>
  <c r="U109" i="1"/>
  <c r="T109" i="1"/>
  <c r="S109" i="1"/>
  <c r="U96" i="1"/>
  <c r="T96" i="1"/>
  <c r="S96" i="1"/>
  <c r="U56" i="1"/>
  <c r="T56" i="1"/>
  <c r="S56" i="1"/>
  <c r="U110" i="1"/>
  <c r="T110" i="1"/>
  <c r="S110" i="1"/>
  <c r="U66" i="1"/>
  <c r="T66" i="1"/>
  <c r="S66" i="1"/>
  <c r="U19" i="1"/>
  <c r="T19" i="1"/>
  <c r="S19" i="1"/>
  <c r="U65" i="1"/>
  <c r="T65" i="1"/>
  <c r="S65" i="1"/>
  <c r="U98" i="1"/>
  <c r="T98" i="1"/>
  <c r="S98" i="1"/>
  <c r="U64" i="1"/>
  <c r="T64" i="1"/>
  <c r="S64" i="1"/>
  <c r="U48" i="1"/>
  <c r="T48" i="1"/>
  <c r="S48" i="1"/>
  <c r="U25" i="1"/>
  <c r="T25" i="1"/>
  <c r="S25" i="1"/>
  <c r="U63" i="1"/>
  <c r="T63" i="1"/>
  <c r="S63" i="1"/>
  <c r="U125" i="1"/>
  <c r="T125" i="1"/>
  <c r="S125" i="1"/>
  <c r="U61" i="1"/>
  <c r="T61" i="1"/>
  <c r="S61" i="1"/>
  <c r="U22" i="1"/>
  <c r="T22" i="1"/>
  <c r="S22" i="1"/>
  <c r="U97" i="1"/>
  <c r="T97" i="1"/>
  <c r="S97" i="1"/>
  <c r="U60" i="1"/>
  <c r="T60" i="1"/>
  <c r="S60" i="1"/>
  <c r="U14" i="1"/>
  <c r="T14" i="1"/>
  <c r="S14" i="1"/>
  <c r="U52" i="1"/>
  <c r="T52" i="1"/>
  <c r="S52" i="1"/>
  <c r="U106" i="1"/>
  <c r="T106" i="1"/>
  <c r="S106" i="1"/>
  <c r="U73" i="1"/>
  <c r="T73" i="1"/>
  <c r="S73" i="1"/>
  <c r="U43" i="1"/>
  <c r="T43" i="1"/>
  <c r="S43" i="1"/>
  <c r="U77" i="1"/>
  <c r="T77" i="1"/>
  <c r="S77" i="1"/>
  <c r="U44" i="1"/>
  <c r="T44" i="1"/>
  <c r="S44" i="1"/>
  <c r="U17" i="1"/>
  <c r="T17" i="1"/>
  <c r="S17" i="1"/>
  <c r="U32" i="1"/>
  <c r="T32" i="1"/>
  <c r="S32" i="1"/>
  <c r="U8" i="1"/>
  <c r="T8" i="1"/>
  <c r="S8" i="1"/>
  <c r="U131" i="1"/>
  <c r="T131" i="1"/>
  <c r="S131" i="1"/>
  <c r="U42" i="1"/>
  <c r="T42" i="1"/>
  <c r="S42" i="1"/>
  <c r="U38" i="1"/>
  <c r="T38" i="1"/>
  <c r="S38" i="1"/>
  <c r="U143" i="1"/>
  <c r="T143" i="1"/>
  <c r="S143" i="1"/>
  <c r="U141" i="1"/>
  <c r="T141" i="1"/>
  <c r="S141" i="1"/>
  <c r="U102" i="1"/>
  <c r="T102" i="1"/>
  <c r="S102" i="1"/>
  <c r="U99" i="1"/>
  <c r="T99" i="1"/>
  <c r="S99" i="1"/>
  <c r="U49" i="1"/>
  <c r="T49" i="1"/>
  <c r="S49" i="1"/>
  <c r="U45" i="1"/>
  <c r="T45" i="1"/>
  <c r="S45" i="1"/>
  <c r="U33" i="1"/>
  <c r="T33" i="1"/>
  <c r="S33" i="1"/>
  <c r="U124" i="1"/>
  <c r="T124" i="1"/>
  <c r="S124" i="1"/>
  <c r="U94" i="1"/>
  <c r="T94" i="1"/>
  <c r="S94" i="1"/>
  <c r="U93" i="1"/>
  <c r="T93" i="1"/>
  <c r="S93" i="1"/>
  <c r="U142" i="1"/>
  <c r="T142" i="1"/>
  <c r="S142" i="1"/>
  <c r="U140" i="1"/>
  <c r="T140" i="1"/>
  <c r="S140" i="1"/>
  <c r="U68" i="1"/>
  <c r="T68" i="1"/>
  <c r="S68" i="1"/>
  <c r="U54" i="1"/>
  <c r="T54" i="1"/>
  <c r="S54" i="1"/>
  <c r="U78" i="1"/>
  <c r="T78" i="1"/>
  <c r="S78" i="1"/>
  <c r="U135" i="1"/>
  <c r="T135" i="1"/>
  <c r="S135" i="1"/>
  <c r="U148" i="1"/>
  <c r="T148" i="1"/>
  <c r="S148" i="1"/>
  <c r="U29" i="1"/>
  <c r="T29" i="1"/>
  <c r="S29" i="1"/>
  <c r="U112" i="1"/>
  <c r="T112" i="1"/>
  <c r="S112" i="1"/>
  <c r="U137" i="1"/>
  <c r="T137" i="1"/>
  <c r="S137" i="1"/>
  <c r="U6" i="1"/>
  <c r="T6" i="1"/>
  <c r="S6" i="1"/>
  <c r="U69" i="1"/>
  <c r="T69" i="1"/>
  <c r="S69" i="1"/>
  <c r="U104" i="1"/>
  <c r="T104" i="1"/>
  <c r="S104" i="1"/>
  <c r="U11" i="1"/>
  <c r="T11" i="1"/>
  <c r="S11" i="1"/>
  <c r="U82" i="1"/>
  <c r="T82" i="1"/>
  <c r="S82" i="1"/>
  <c r="U27" i="1"/>
  <c r="T27" i="1"/>
  <c r="S27" i="1"/>
  <c r="U62" i="1"/>
  <c r="T62" i="1"/>
  <c r="S62" i="1"/>
  <c r="U139" i="1"/>
  <c r="T139" i="1"/>
  <c r="S139" i="1"/>
  <c r="U55" i="1"/>
  <c r="T55" i="1"/>
  <c r="S55" i="1"/>
  <c r="U3" i="1"/>
  <c r="T3" i="1"/>
  <c r="S3" i="1"/>
  <c r="U37" i="1"/>
  <c r="T37" i="1"/>
  <c r="S37" i="1"/>
  <c r="U122" i="1"/>
  <c r="T122" i="1"/>
  <c r="S122" i="1"/>
  <c r="U47" i="1"/>
  <c r="T47" i="1"/>
  <c r="S47" i="1"/>
  <c r="U21" i="1"/>
  <c r="T21" i="1"/>
  <c r="S21" i="1"/>
  <c r="U118" i="1"/>
  <c r="T118" i="1"/>
  <c r="S118" i="1"/>
  <c r="U16" i="1"/>
  <c r="T16" i="1"/>
  <c r="S16" i="1"/>
  <c r="U9" i="1"/>
  <c r="T9" i="1"/>
  <c r="S9" i="1"/>
  <c r="U12" i="1"/>
  <c r="T12" i="1"/>
  <c r="S12" i="1"/>
  <c r="U151" i="1"/>
  <c r="T151" i="1"/>
  <c r="S151" i="1"/>
  <c r="U79" i="1"/>
  <c r="T79" i="1"/>
  <c r="S79" i="1"/>
  <c r="U76" i="1"/>
  <c r="T76" i="1"/>
  <c r="S76" i="1"/>
  <c r="U146" i="1"/>
  <c r="T146" i="1"/>
  <c r="S146" i="1"/>
  <c r="U128" i="1"/>
  <c r="T128" i="1"/>
  <c r="S128" i="1"/>
  <c r="U111" i="1"/>
  <c r="T111" i="1"/>
  <c r="S111" i="1"/>
</calcChain>
</file>

<file path=xl/sharedStrings.xml><?xml version="1.0" encoding="utf-8"?>
<sst xmlns="http://schemas.openxmlformats.org/spreadsheetml/2006/main" count="174" uniqueCount="174">
  <si>
    <t>PLANKINTON</t>
  </si>
  <si>
    <t>STICKNEY</t>
  </si>
  <si>
    <t>WHITE LAKE</t>
  </si>
  <si>
    <t>HURON</t>
  </si>
  <si>
    <t>IROQUOIS</t>
  </si>
  <si>
    <t>BENNETT COUNTY</t>
  </si>
  <si>
    <t>AVON</t>
  </si>
  <si>
    <t>BON HOMME</t>
  </si>
  <si>
    <t>SCOTLAND</t>
  </si>
  <si>
    <t>BROOKINGS</t>
  </si>
  <si>
    <t>ELKTON</t>
  </si>
  <si>
    <t>SIOUX VALLEY</t>
  </si>
  <si>
    <t>ABERDEEN</t>
  </si>
  <si>
    <t>WARNER</t>
  </si>
  <si>
    <t>CHAMBERLAIN</t>
  </si>
  <si>
    <t>KIMBALL</t>
  </si>
  <si>
    <t>BELLE FOURCHE</t>
  </si>
  <si>
    <t>NEWELL</t>
  </si>
  <si>
    <t>HERRIED</t>
  </si>
  <si>
    <t>ANDES CENTRAL</t>
  </si>
  <si>
    <t>WAGNER COMMUNITY</t>
  </si>
  <si>
    <t>CLARK</t>
  </si>
  <si>
    <t>WILLOW LAKE</t>
  </si>
  <si>
    <t>VERMILLION</t>
  </si>
  <si>
    <t>FLORENCE</t>
  </si>
  <si>
    <t>HENRY</t>
  </si>
  <si>
    <t>WATERTOWN</t>
  </si>
  <si>
    <t>WAVERLY</t>
  </si>
  <si>
    <t>MC INTOSH</t>
  </si>
  <si>
    <t>MC LAUGHLIN</t>
  </si>
  <si>
    <t>SMEE</t>
  </si>
  <si>
    <t>CUSTER</t>
  </si>
  <si>
    <t>ELK MOUNTAIN</t>
  </si>
  <si>
    <t>ETHAN</t>
  </si>
  <si>
    <t>MITCHELL</t>
  </si>
  <si>
    <t>MOUNT VERNON</t>
  </si>
  <si>
    <t>WAUBAY</t>
  </si>
  <si>
    <t>WEBSTER</t>
  </si>
  <si>
    <t>DEUEL</t>
  </si>
  <si>
    <t>EAGLE BUTTE</t>
  </si>
  <si>
    <t>TIMBER LAKE</t>
  </si>
  <si>
    <t>ARMOUR</t>
  </si>
  <si>
    <t>CORSICA</t>
  </si>
  <si>
    <t>BOWDLE</t>
  </si>
  <si>
    <t>IPSWICH</t>
  </si>
  <si>
    <t>EDMUNDS CENTRAL</t>
  </si>
  <si>
    <t>EDGEMONT</t>
  </si>
  <si>
    <t>HOT SPRINGS</t>
  </si>
  <si>
    <t>OELRICHS</t>
  </si>
  <si>
    <t>BIG STONE CITY</t>
  </si>
  <si>
    <t>GRANT-DEUEL</t>
  </si>
  <si>
    <t>MILBANK</t>
  </si>
  <si>
    <t>BURKE</t>
  </si>
  <si>
    <t>GREGORY</t>
  </si>
  <si>
    <t>HAAKON</t>
  </si>
  <si>
    <t>CASTLEWOOD</t>
  </si>
  <si>
    <t>ESTELLINE</t>
  </si>
  <si>
    <t>HAMLIN</t>
  </si>
  <si>
    <t>HANSON</t>
  </si>
  <si>
    <t>HARDING COUNTY</t>
  </si>
  <si>
    <t>PIERRE</t>
  </si>
  <si>
    <t>FREEMAN</t>
  </si>
  <si>
    <t>MENNO</t>
  </si>
  <si>
    <t>PARKSTON</t>
  </si>
  <si>
    <t>TRIPP-DELMONT</t>
  </si>
  <si>
    <t>WESSINGTON SPRINGS</t>
  </si>
  <si>
    <t>JONES COUNTY</t>
  </si>
  <si>
    <t>ARLINGTON</t>
  </si>
  <si>
    <t>DE SMET</t>
  </si>
  <si>
    <t>LAKE PRESTON</t>
  </si>
  <si>
    <t>CHESTER AREA</t>
  </si>
  <si>
    <t>RUTLAND</t>
  </si>
  <si>
    <t>OLDHAM-RAMONA</t>
  </si>
  <si>
    <t>LEAD-DEADWOOD</t>
  </si>
  <si>
    <t>SPEARFISH</t>
  </si>
  <si>
    <t>CANTON</t>
  </si>
  <si>
    <t>HARRISBURG</t>
  </si>
  <si>
    <t>LENNOX</t>
  </si>
  <si>
    <t>LYMAN</t>
  </si>
  <si>
    <t>CANISTOTA</t>
  </si>
  <si>
    <t>MONTROSE</t>
  </si>
  <si>
    <t>MC COOK CENTRAL</t>
  </si>
  <si>
    <t>EUREKA</t>
  </si>
  <si>
    <t>LEOLA</t>
  </si>
  <si>
    <t>LANGFORD</t>
  </si>
  <si>
    <t>MEADE</t>
  </si>
  <si>
    <t>FAITH</t>
  </si>
  <si>
    <t>WHITE RIVER</t>
  </si>
  <si>
    <t>HOWARD</t>
  </si>
  <si>
    <t>BALTIC</t>
  </si>
  <si>
    <t>BRANDON VALLEY</t>
  </si>
  <si>
    <t>DELL RAPIDS</t>
  </si>
  <si>
    <t>GARRETSON</t>
  </si>
  <si>
    <t>SIOUX FALLS</t>
  </si>
  <si>
    <t>WEST CENTRAL</t>
  </si>
  <si>
    <t>FLANDREAU</t>
  </si>
  <si>
    <t>DOUGLAS</t>
  </si>
  <si>
    <t>HILL CITY</t>
  </si>
  <si>
    <t>NEW UNDERWOOD</t>
  </si>
  <si>
    <t>RAPID CITY</t>
  </si>
  <si>
    <t>WALL</t>
  </si>
  <si>
    <t>LEMMON</t>
  </si>
  <si>
    <t>GETTYSBURG</t>
  </si>
  <si>
    <t>HOVEN</t>
  </si>
  <si>
    <t>ROSHOLT</t>
  </si>
  <si>
    <t>SUMMIT</t>
  </si>
  <si>
    <t>WILMOT</t>
  </si>
  <si>
    <t>SISSETON PUBLIC</t>
  </si>
  <si>
    <t>WOONSOCKET</t>
  </si>
  <si>
    <t>DOLAND</t>
  </si>
  <si>
    <t>REDFIELD</t>
  </si>
  <si>
    <t>STANLEY COUNTY</t>
  </si>
  <si>
    <t>WINNER</t>
  </si>
  <si>
    <t>CENTERVILLE</t>
  </si>
  <si>
    <t>MARION</t>
  </si>
  <si>
    <t>PARKER</t>
  </si>
  <si>
    <t>BERESFORD</t>
  </si>
  <si>
    <t>DAKOTA VALLEY</t>
  </si>
  <si>
    <t>SELBY AREA</t>
  </si>
  <si>
    <t>GAYVILLE-VOLIN</t>
  </si>
  <si>
    <t>YANKTON</t>
  </si>
  <si>
    <t>DUPREE</t>
  </si>
  <si>
    <t>TODD COUNTY</t>
  </si>
  <si>
    <t>BISON</t>
  </si>
  <si>
    <t>MADISON  CENTRAL</t>
  </si>
  <si>
    <t>ELK POINT-JEFFERSON</t>
  </si>
  <si>
    <t xml:space="preserve">SHANNON COUNTY </t>
  </si>
  <si>
    <t>TEA</t>
  </si>
  <si>
    <t>GROTON AREA</t>
  </si>
  <si>
    <t>FAULKTON AREA</t>
  </si>
  <si>
    <t>MILLER AREA</t>
  </si>
  <si>
    <t>SANBORN CENTRAL</t>
  </si>
  <si>
    <t>NORTHWESTERN AREA</t>
  </si>
  <si>
    <t>FREDERICK AREA</t>
  </si>
  <si>
    <t>COLOME CONSOLIDATED</t>
  </si>
  <si>
    <t>SOUTH CENTRAL</t>
  </si>
  <si>
    <t>BRIDGEWATER-EMERY</t>
  </si>
  <si>
    <t>VIBORG-HURLEY</t>
  </si>
  <si>
    <t>.</t>
  </si>
  <si>
    <t>School District</t>
  </si>
  <si>
    <t>Bond Redemption #1</t>
  </si>
  <si>
    <t>Bond Redemption #2</t>
  </si>
  <si>
    <t>Capital Outlay</t>
  </si>
  <si>
    <t>Pension</t>
  </si>
  <si>
    <t>Special Education</t>
  </si>
  <si>
    <t>Gen Ag</t>
  </si>
  <si>
    <t>Gen OO</t>
  </si>
  <si>
    <t>Gen Oth</t>
  </si>
  <si>
    <t>Cont Adj Ag</t>
  </si>
  <si>
    <t>Cont Adj OO</t>
  </si>
  <si>
    <t>Cont Adj Oth</t>
  </si>
  <si>
    <t>T/A/D Gen Ag</t>
  </si>
  <si>
    <t>T/A/D Gen OO</t>
  </si>
  <si>
    <t>T/A/D Gen Oth</t>
  </si>
  <si>
    <t>T/A/D Se Ag</t>
  </si>
  <si>
    <t>T/A/D SE OO</t>
  </si>
  <si>
    <t>T/A/D SE Oth</t>
  </si>
  <si>
    <t>Total Ag</t>
  </si>
  <si>
    <t>Total OO</t>
  </si>
  <si>
    <t>Total Other</t>
  </si>
  <si>
    <t>DEUBROOK00AREA</t>
  </si>
  <si>
    <t>TRI00VALLEY</t>
  </si>
  <si>
    <t>COLMAN00EGAN</t>
  </si>
  <si>
    <t>ALCESTER00HUDSON</t>
  </si>
  <si>
    <t>WOLSEY-WESSINGTON</t>
  </si>
  <si>
    <t>PLATTE-GEDDES</t>
  </si>
  <si>
    <t>IRENE-WAKONDA</t>
  </si>
  <si>
    <t>HIGHMORE-HARROLD</t>
  </si>
  <si>
    <t>BRITTON-HECLA</t>
  </si>
  <si>
    <t>HITCHCOCK-TULARE</t>
  </si>
  <si>
    <t>AGAR-BLUNT-ONIDA</t>
  </si>
  <si>
    <t>MOBRIDGE-POLLOCK</t>
  </si>
  <si>
    <t>KADOKA AREA</t>
  </si>
  <si>
    <t>Pay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</si>
</sst>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0.00_)"/>
    <numFmt numFmtId="166" formatCode="_(* #,##0.000_);_(* \(#,##0.00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10"/>
      <name val="Gill Sans MT"/>
      <family val="2"/>
    </font>
    <font>
      <sz val="10"/>
      <color indexed="10"/>
      <name val="Gill Sans MT"/>
      <family val="2"/>
    </font>
    <font>
      <sz val="11"/>
      <name val="Gill Sans MT"/>
      <family val="2"/>
    </font>
    <font>
      <sz val="12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14">
    <xf numFmtId="164" fontId="0" fillId="0" borderId="0" xfId="0"/>
    <xf numFmtId="164" fontId="3" fillId="0" borderId="0" xfId="0" applyFont="1"/>
    <xf numFmtId="164" fontId="3" fillId="0" borderId="0" xfId="0" applyFont="1" applyAlignment="1" applyProtection="1">
      <alignment horizontal="left" vertical="center"/>
    </xf>
    <xf numFmtId="166" fontId="3" fillId="0" borderId="0" xfId="1" applyNumberFormat="1" applyFont="1" applyAlignment="1" applyProtection="1">
      <alignment vertical="center"/>
    </xf>
    <xf numFmtId="164" fontId="3" fillId="0" borderId="0" xfId="0" applyFont="1" applyAlignment="1">
      <alignment vertical="center"/>
    </xf>
    <xf numFmtId="166" fontId="3" fillId="0" borderId="0" xfId="1" applyNumberFormat="1" applyFont="1" applyFill="1" applyAlignment="1" applyProtection="1">
      <alignment vertical="center"/>
    </xf>
    <xf numFmtId="164" fontId="3" fillId="0" borderId="0" xfId="0" applyFont="1" applyFill="1" applyAlignment="1" applyProtection="1">
      <alignment horizontal="left" vertical="center"/>
    </xf>
    <xf numFmtId="164" fontId="3" fillId="0" borderId="0" xfId="0" applyFont="1" applyFill="1" applyAlignment="1">
      <alignment vertical="center"/>
    </xf>
    <xf numFmtId="165" fontId="3" fillId="0" borderId="0" xfId="0" applyNumberFormat="1" applyFont="1" applyAlignment="1" applyProtection="1">
      <alignment vertical="center"/>
    </xf>
    <xf numFmtId="164" fontId="4" fillId="0" borderId="0" xfId="0" applyFont="1" applyFill="1"/>
    <xf numFmtId="166" fontId="3" fillId="0" borderId="0" xfId="1" applyNumberFormat="1" applyFont="1"/>
    <xf numFmtId="164" fontId="5" fillId="2" borderId="1" xfId="0" applyFont="1" applyFill="1" applyBorder="1" applyAlignment="1">
      <alignment horizontal="center" wrapText="1"/>
    </xf>
    <xf numFmtId="164" fontId="5" fillId="0" borderId="0" xfId="0" applyFont="1" applyAlignment="1">
      <alignment wrapText="1"/>
    </xf>
    <xf numFmtId="164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J163"/>
  <sheetViews>
    <sheetView tabSelected="1" zoomScaleNormal="100" workbookViewId="0">
      <selection activeCell="A2" sqref="A2"/>
    </sheetView>
  </sheetViews>
  <sheetFormatPr defaultColWidth="9.625" defaultRowHeight="15" customHeight="1" x14ac:dyDescent="0.3"/>
  <cols>
    <col min="1" max="1" width="20.875" style="1" bestFit="1" customWidth="1"/>
    <col min="2" max="2" width="9" style="1" customWidth="1"/>
    <col min="3" max="3" width="9.625" style="1" customWidth="1"/>
    <col min="4" max="4" width="10" style="1" customWidth="1"/>
    <col min="5" max="5" width="10.375" style="1" customWidth="1"/>
    <col min="6" max="6" width="10.125" style="1" customWidth="1"/>
    <col min="7" max="7" width="9" style="1" customWidth="1"/>
    <col min="8" max="8" width="8.875" style="1" customWidth="1"/>
    <col min="9" max="9" width="9.625" style="1" customWidth="1"/>
    <col min="10" max="10" width="8" style="1" customWidth="1"/>
    <col min="11" max="11" width="8.875" style="1" customWidth="1"/>
    <col min="12" max="12" width="8.125" style="1" customWidth="1"/>
    <col min="13" max="13" width="7.875" style="1" customWidth="1"/>
    <col min="14" max="14" width="8.125" style="1" customWidth="1"/>
    <col min="15" max="15" width="7.875" style="1" customWidth="1"/>
    <col min="16" max="16" width="7.625" style="1" customWidth="1"/>
    <col min="17" max="17" width="7.375" style="1" customWidth="1"/>
    <col min="18" max="18" width="7.25" style="1" customWidth="1"/>
    <col min="19" max="20" width="8.75" style="1" bestFit="1" customWidth="1"/>
    <col min="21" max="21" width="9.625" style="1" bestFit="1" customWidth="1"/>
    <col min="22" max="16384" width="9.625" style="1"/>
  </cols>
  <sheetData>
    <row r="1" spans="1:114" ht="23.25" customHeight="1" x14ac:dyDescent="0.4">
      <c r="A1" s="13" t="s">
        <v>173</v>
      </c>
    </row>
    <row r="2" spans="1:114" s="12" customFormat="1" ht="49.5" customHeight="1" x14ac:dyDescent="0.35">
      <c r="A2" s="11" t="s">
        <v>139</v>
      </c>
      <c r="B2" s="11" t="s">
        <v>145</v>
      </c>
      <c r="C2" s="11" t="s">
        <v>146</v>
      </c>
      <c r="D2" s="11" t="s">
        <v>147</v>
      </c>
      <c r="E2" s="11" t="s">
        <v>140</v>
      </c>
      <c r="F2" s="11" t="s">
        <v>141</v>
      </c>
      <c r="G2" s="11" t="s">
        <v>142</v>
      </c>
      <c r="H2" s="11" t="s">
        <v>143</v>
      </c>
      <c r="I2" s="11" t="s">
        <v>144</v>
      </c>
      <c r="J2" s="11" t="s">
        <v>148</v>
      </c>
      <c r="K2" s="11" t="s">
        <v>149</v>
      </c>
      <c r="L2" s="11" t="s">
        <v>150</v>
      </c>
      <c r="M2" s="11" t="s">
        <v>151</v>
      </c>
      <c r="N2" s="11" t="s">
        <v>152</v>
      </c>
      <c r="O2" s="11" t="s">
        <v>153</v>
      </c>
      <c r="P2" s="11" t="s">
        <v>154</v>
      </c>
      <c r="Q2" s="11" t="s">
        <v>155</v>
      </c>
      <c r="R2" s="11" t="s">
        <v>156</v>
      </c>
      <c r="S2" s="11" t="s">
        <v>157</v>
      </c>
      <c r="T2" s="11" t="s">
        <v>158</v>
      </c>
      <c r="U2" s="11" t="s">
        <v>159</v>
      </c>
    </row>
    <row r="3" spans="1:114" s="4" customFormat="1" ht="15" customHeight="1" x14ac:dyDescent="0.15">
      <c r="A3" s="2" t="s">
        <v>12</v>
      </c>
      <c r="B3" s="3">
        <v>2.09</v>
      </c>
      <c r="C3" s="3">
        <v>4.2960000000000003</v>
      </c>
      <c r="D3" s="3">
        <v>9.1999999999999993</v>
      </c>
      <c r="E3" s="3">
        <v>0.86599999999999999</v>
      </c>
      <c r="F3" s="3"/>
      <c r="G3" s="3">
        <v>3</v>
      </c>
      <c r="H3" s="3">
        <v>0.3</v>
      </c>
      <c r="I3" s="3">
        <v>1.552</v>
      </c>
      <c r="J3" s="3"/>
      <c r="K3" s="3"/>
      <c r="L3" s="3"/>
      <c r="M3" s="3">
        <v>6.2E-2</v>
      </c>
      <c r="N3" s="3">
        <v>0.127</v>
      </c>
      <c r="O3" s="3">
        <v>0.27300000000000002</v>
      </c>
      <c r="P3" s="3">
        <v>4.7E-2</v>
      </c>
      <c r="Q3" s="3">
        <v>4.7E-2</v>
      </c>
      <c r="R3" s="3">
        <v>4.7E-2</v>
      </c>
      <c r="S3" s="3">
        <f>+(B3+E3+F3+G3+H3+I3+J3+M3+P3)</f>
        <v>7.9169999999999998</v>
      </c>
      <c r="T3" s="3">
        <f>+(C3+E3+F3+G3+H3+I3+K3+N3+Q3)</f>
        <v>10.188000000000001</v>
      </c>
      <c r="U3" s="3">
        <f>+(D3+E3+F3+G3+H3+I3+L3+O3+R3)</f>
        <v>15.238</v>
      </c>
    </row>
    <row r="4" spans="1:114" s="4" customFormat="1" ht="15" customHeight="1" x14ac:dyDescent="0.15">
      <c r="A4" s="2" t="s">
        <v>170</v>
      </c>
      <c r="B4" s="3">
        <v>2.09</v>
      </c>
      <c r="C4" s="3">
        <v>4.2960000000000003</v>
      </c>
      <c r="D4" s="3">
        <v>9.1999999999999993</v>
      </c>
      <c r="E4" s="3"/>
      <c r="F4" s="3"/>
      <c r="G4" s="3">
        <v>1</v>
      </c>
      <c r="H4" s="3">
        <v>0.12</v>
      </c>
      <c r="I4" s="3">
        <v>0.7</v>
      </c>
      <c r="J4" s="3"/>
      <c r="K4" s="3"/>
      <c r="L4" s="3"/>
      <c r="M4" s="3"/>
      <c r="N4" s="3"/>
      <c r="O4" s="3"/>
      <c r="P4" s="3"/>
      <c r="Q4" s="3"/>
      <c r="R4" s="3"/>
      <c r="S4" s="3">
        <f>+(B4+E4+F4+G4+H4+I4+J4+M4+P4)</f>
        <v>3.91</v>
      </c>
      <c r="T4" s="3">
        <f>+(C4+E4+F4+G4+H4+I4+K4+N4+Q4)</f>
        <v>6.1160000000000005</v>
      </c>
      <c r="U4" s="3">
        <f>+(D4+E4+F4+G4+H4+I4+L4+O4+R4)</f>
        <v>11.019999999999998</v>
      </c>
    </row>
    <row r="5" spans="1:114" s="4" customFormat="1" ht="15" customHeight="1" x14ac:dyDescent="0.15">
      <c r="A5" s="2" t="s">
        <v>163</v>
      </c>
      <c r="B5" s="3">
        <f>2.09+0.998</f>
        <v>3.0880000000000001</v>
      </c>
      <c r="C5" s="3">
        <f>4.296+2.051</f>
        <v>6.3470000000000004</v>
      </c>
      <c r="D5" s="3">
        <f>9.2+4.393</f>
        <v>13.593</v>
      </c>
      <c r="E5" s="3">
        <v>1.137</v>
      </c>
      <c r="F5" s="3"/>
      <c r="G5" s="3">
        <v>1.2649999999999999</v>
      </c>
      <c r="H5" s="3">
        <v>0.3</v>
      </c>
      <c r="I5" s="3">
        <v>1.552</v>
      </c>
      <c r="J5" s="3"/>
      <c r="K5" s="3"/>
      <c r="L5" s="3"/>
      <c r="M5" s="3"/>
      <c r="N5" s="3"/>
      <c r="O5" s="3"/>
      <c r="P5" s="3"/>
      <c r="Q5" s="3"/>
      <c r="R5" s="3"/>
      <c r="S5" s="3">
        <f>+(B5+E5+F5+G5+H5+I5+J5+M5+P5)</f>
        <v>7.3419999999999987</v>
      </c>
      <c r="T5" s="3">
        <f>+(C5+E5+F5+G5+H5+I5+K5+N5+Q5)</f>
        <v>10.601000000000001</v>
      </c>
      <c r="U5" s="3">
        <f>+(D5+E5+F5+G5+H5+I5+L5+O5+R5)</f>
        <v>17.847000000000001</v>
      </c>
    </row>
    <row r="6" spans="1:114" s="4" customFormat="1" ht="15" customHeight="1" x14ac:dyDescent="0.15">
      <c r="A6" s="2" t="s">
        <v>19</v>
      </c>
      <c r="B6" s="3">
        <f>2.09+1.122</f>
        <v>3.2119999999999997</v>
      </c>
      <c r="C6" s="3">
        <f>4.296+2.306</f>
        <v>6.6020000000000003</v>
      </c>
      <c r="D6" s="3">
        <f>9.2+4.939</f>
        <v>14.138999999999999</v>
      </c>
      <c r="E6" s="3"/>
      <c r="F6" s="3"/>
      <c r="G6" s="3">
        <v>0</v>
      </c>
      <c r="H6" s="3">
        <v>0.3</v>
      </c>
      <c r="I6" s="3">
        <v>1.552</v>
      </c>
      <c r="J6" s="3"/>
      <c r="K6" s="3"/>
      <c r="L6" s="3"/>
      <c r="M6" s="3"/>
      <c r="N6" s="3"/>
      <c r="O6" s="3"/>
      <c r="P6" s="3"/>
      <c r="Q6" s="3"/>
      <c r="R6" s="3"/>
      <c r="S6" s="3">
        <f>+(B6+E6+F6+G6+H6+I6+J6+M6+P6)</f>
        <v>5.0640000000000001</v>
      </c>
      <c r="T6" s="3">
        <f>+(C6+E6+F6+G6+H6+I6+K6+N6+Q6)</f>
        <v>8.4540000000000006</v>
      </c>
      <c r="U6" s="3">
        <f>+(D6+E6+F6+G6+H6+I6+L6+O6+R6)</f>
        <v>15.991</v>
      </c>
    </row>
    <row r="7" spans="1:114" s="4" customFormat="1" ht="15" customHeight="1" x14ac:dyDescent="0.15">
      <c r="A7" s="2" t="s">
        <v>67</v>
      </c>
      <c r="B7" s="3">
        <f>2.09+0.603</f>
        <v>2.6929999999999996</v>
      </c>
      <c r="C7" s="3">
        <f>4.296+1.239</f>
        <v>5.5350000000000001</v>
      </c>
      <c r="D7" s="3">
        <f>9.2+2.654</f>
        <v>11.853999999999999</v>
      </c>
      <c r="E7" s="3">
        <v>1.18</v>
      </c>
      <c r="F7" s="3"/>
      <c r="G7" s="3">
        <v>2.15</v>
      </c>
      <c r="H7" s="3">
        <v>0.29899999999999999</v>
      </c>
      <c r="I7" s="3">
        <v>1.552</v>
      </c>
      <c r="J7" s="3"/>
      <c r="K7" s="3"/>
      <c r="L7" s="3"/>
      <c r="M7" s="3"/>
      <c r="N7" s="3"/>
      <c r="O7" s="3"/>
      <c r="P7" s="3"/>
      <c r="Q7" s="3"/>
      <c r="R7" s="3"/>
      <c r="S7" s="3">
        <f>+(B7+E7+F7+G7+H7+I7+J7+M7+P7)</f>
        <v>7.8740000000000006</v>
      </c>
      <c r="T7" s="3">
        <f>+(C7+E7+F7+G7+H7+I7+K7+N7+Q7)</f>
        <v>10.715999999999999</v>
      </c>
      <c r="U7" s="3">
        <f>+(D7+E7+F7+G7+H7+I7+L7+O7+R7)</f>
        <v>17.035</v>
      </c>
    </row>
    <row r="8" spans="1:114" s="4" customFormat="1" ht="15" customHeight="1" x14ac:dyDescent="0.15">
      <c r="A8" s="2" t="s">
        <v>41</v>
      </c>
      <c r="B8" s="3">
        <f>2.09+3.097</f>
        <v>5.1869999999999994</v>
      </c>
      <c r="C8" s="3">
        <f>4.296+6.366</f>
        <v>10.661999999999999</v>
      </c>
      <c r="D8" s="3">
        <f>9.2+13.633</f>
        <v>22.832999999999998</v>
      </c>
      <c r="E8" s="3"/>
      <c r="F8" s="3"/>
      <c r="G8" s="3">
        <v>1.87</v>
      </c>
      <c r="H8" s="3">
        <v>0.29099999999999998</v>
      </c>
      <c r="I8" s="3">
        <v>1.36</v>
      </c>
      <c r="J8" s="3"/>
      <c r="K8" s="3"/>
      <c r="L8" s="3"/>
      <c r="M8" s="3"/>
      <c r="N8" s="3"/>
      <c r="O8" s="3"/>
      <c r="P8" s="3"/>
      <c r="Q8" s="3"/>
      <c r="R8" s="3"/>
      <c r="S8" s="3">
        <f>+(B8+E8+F8+G8+H8+I8+J8+M8+P8)</f>
        <v>8.7080000000000002</v>
      </c>
      <c r="T8" s="3">
        <f>+(C8+E8+F8+G8+H8+I8+K8+N8+Q8)</f>
        <v>14.183</v>
      </c>
      <c r="U8" s="3">
        <f>+(D8+E8+F8+G8+H8+I8+L8+O8+R8)</f>
        <v>26.353999999999999</v>
      </c>
    </row>
    <row r="9" spans="1:114" s="4" customFormat="1" ht="15" customHeight="1" x14ac:dyDescent="0.15">
      <c r="A9" s="2" t="s">
        <v>6</v>
      </c>
      <c r="B9" s="3">
        <v>2.09</v>
      </c>
      <c r="C9" s="3">
        <v>4.2960000000000003</v>
      </c>
      <c r="D9" s="3">
        <v>9.1999999999999993</v>
      </c>
      <c r="E9" s="3"/>
      <c r="F9" s="3"/>
      <c r="G9" s="3">
        <v>2.8769999999999998</v>
      </c>
      <c r="H9" s="3">
        <v>0.28799999999999998</v>
      </c>
      <c r="I9" s="3">
        <v>1.552</v>
      </c>
      <c r="J9" s="3"/>
      <c r="K9" s="3"/>
      <c r="L9" s="3"/>
      <c r="M9" s="3"/>
      <c r="N9" s="3"/>
      <c r="O9" s="3"/>
      <c r="P9" s="3"/>
      <c r="Q9" s="3"/>
      <c r="R9" s="3"/>
      <c r="S9" s="3">
        <f>+(B9+E9+F9+G9+H9+I9+J9+M9+P9)</f>
        <v>6.8070000000000004</v>
      </c>
      <c r="T9" s="3">
        <f>+(C9+E9+F9+G9+H9+I9+K9+N9+Q9)</f>
        <v>9.0129999999999999</v>
      </c>
      <c r="U9" s="3">
        <f>+(D9+E9+F9+G9+H9+I9+L9+O9+R9)</f>
        <v>13.916999999999998</v>
      </c>
    </row>
    <row r="10" spans="1:114" s="4" customFormat="1" ht="15" customHeight="1" x14ac:dyDescent="0.15">
      <c r="A10" s="2" t="s">
        <v>89</v>
      </c>
      <c r="B10" s="3">
        <v>2.09</v>
      </c>
      <c r="C10" s="3">
        <v>4.2960000000000003</v>
      </c>
      <c r="D10" s="3">
        <v>9.1999999999999993</v>
      </c>
      <c r="E10" s="3">
        <v>2.4620000000000002</v>
      </c>
      <c r="F10" s="3"/>
      <c r="G10" s="3">
        <v>2.5499999999999998</v>
      </c>
      <c r="H10" s="3">
        <v>0.3</v>
      </c>
      <c r="I10" s="3">
        <v>1.552</v>
      </c>
      <c r="J10" s="3"/>
      <c r="K10" s="3"/>
      <c r="L10" s="3"/>
      <c r="M10" s="3">
        <v>0.01</v>
      </c>
      <c r="N10" s="3">
        <v>2.1000000000000001E-2</v>
      </c>
      <c r="O10" s="3">
        <v>4.3999999999999997E-2</v>
      </c>
      <c r="P10" s="3">
        <v>4.0000000000000001E-3</v>
      </c>
      <c r="Q10" s="3">
        <v>4.0000000000000001E-3</v>
      </c>
      <c r="R10" s="3">
        <v>4.0000000000000001E-3</v>
      </c>
      <c r="S10" s="3">
        <f>+(B10+E10+F10+G10+H10+I10+J10+M10+P10)</f>
        <v>8.9679999999999982</v>
      </c>
      <c r="T10" s="3">
        <f>+(C10+E10+F10+G10+H10+I10+K10+N10+Q10)</f>
        <v>11.185</v>
      </c>
      <c r="U10" s="3">
        <f>+(D10+E10+F10+G10+H10+I10+L10+O10+R10)</f>
        <v>16.112000000000002</v>
      </c>
    </row>
    <row r="11" spans="1:114" s="4" customFormat="1" ht="15" customHeight="1" x14ac:dyDescent="0.15">
      <c r="A11" s="2" t="s">
        <v>16</v>
      </c>
      <c r="B11" s="3">
        <v>2.09</v>
      </c>
      <c r="C11" s="3">
        <v>4.2960000000000003</v>
      </c>
      <c r="D11" s="3">
        <v>9.1999999999999993</v>
      </c>
      <c r="E11" s="3">
        <v>0.49</v>
      </c>
      <c r="F11" s="3"/>
      <c r="G11" s="3">
        <v>3</v>
      </c>
      <c r="H11" s="3">
        <v>0.3</v>
      </c>
      <c r="I11" s="3">
        <v>1.552</v>
      </c>
      <c r="J11" s="3"/>
      <c r="K11" s="3"/>
      <c r="L11" s="3"/>
      <c r="M11" s="3">
        <v>2.7E-2</v>
      </c>
      <c r="N11" s="3">
        <v>5.5E-2</v>
      </c>
      <c r="O11" s="3">
        <v>0.11899999999999999</v>
      </c>
      <c r="P11" s="3">
        <v>0.02</v>
      </c>
      <c r="Q11" s="3">
        <v>0.02</v>
      </c>
      <c r="R11" s="3">
        <v>0.02</v>
      </c>
      <c r="S11" s="3">
        <f>+(B11+E11+F11+G11+H11+I11+J11+M11+P11)</f>
        <v>7.4790000000000001</v>
      </c>
      <c r="T11" s="3">
        <f>+(C11+E11+F11+G11+H11+I11+K11+N11+Q11)</f>
        <v>9.7129999999999992</v>
      </c>
      <c r="U11" s="3">
        <f>+(D11+E11+F11+G11+H11+I11+L11+O11+R11)</f>
        <v>14.680999999999999</v>
      </c>
    </row>
    <row r="12" spans="1:114" s="4" customFormat="1" ht="15" customHeight="1" x14ac:dyDescent="0.15">
      <c r="A12" s="2" t="s">
        <v>5</v>
      </c>
      <c r="B12" s="3">
        <f>2.09+1.43</f>
        <v>3.5199999999999996</v>
      </c>
      <c r="C12" s="3">
        <f>4.296+2.939</f>
        <v>7.2350000000000003</v>
      </c>
      <c r="D12" s="3">
        <f>9.2+6.295</f>
        <v>15.494999999999999</v>
      </c>
      <c r="E12" s="3"/>
      <c r="F12" s="3"/>
      <c r="G12" s="3">
        <v>0</v>
      </c>
      <c r="H12" s="3">
        <v>0.3</v>
      </c>
      <c r="I12" s="3">
        <v>1.552</v>
      </c>
      <c r="J12" s="3"/>
      <c r="K12" s="3"/>
      <c r="L12" s="3"/>
      <c r="M12" s="3"/>
      <c r="N12" s="3"/>
      <c r="O12" s="3"/>
      <c r="P12" s="3"/>
      <c r="Q12" s="3"/>
      <c r="R12" s="3"/>
      <c r="S12" s="3">
        <f>+(B12+E12+F12+G12+H12+I12+J12+M12+P12)</f>
        <v>5.3719999999999999</v>
      </c>
      <c r="T12" s="3">
        <f>+(C12+E12+F12+G12+H12+I12+K12+N12+Q12)</f>
        <v>9.0869999999999997</v>
      </c>
      <c r="U12" s="3">
        <f>+(D12+E12+F12+G12+H12+I12+L12+O12+R12)</f>
        <v>17.347000000000001</v>
      </c>
    </row>
    <row r="13" spans="1:114" s="7" customFormat="1" ht="15" customHeight="1" x14ac:dyDescent="0.15">
      <c r="A13" s="2" t="s">
        <v>116</v>
      </c>
      <c r="B13" s="3">
        <v>2.09</v>
      </c>
      <c r="C13" s="3">
        <v>4.2960000000000003</v>
      </c>
      <c r="D13" s="3">
        <v>9.1999999999999993</v>
      </c>
      <c r="E13" s="3">
        <v>0.88500000000000001</v>
      </c>
      <c r="F13" s="3"/>
      <c r="G13" s="3">
        <v>3</v>
      </c>
      <c r="H13" s="3">
        <v>0.3</v>
      </c>
      <c r="I13" s="3">
        <v>1.552</v>
      </c>
      <c r="J13" s="3"/>
      <c r="K13" s="3"/>
      <c r="L13" s="3"/>
      <c r="M13" s="3">
        <v>5.6000000000000001E-2</v>
      </c>
      <c r="N13" s="3">
        <v>0.115</v>
      </c>
      <c r="O13" s="3">
        <v>0.247</v>
      </c>
      <c r="P13" s="3">
        <v>1.6E-2</v>
      </c>
      <c r="Q13" s="3">
        <v>1.6E-2</v>
      </c>
      <c r="R13" s="3">
        <v>1.6E-2</v>
      </c>
      <c r="S13" s="3">
        <f>+(B13+E13+F13+G13+H13+I13+J13+M13+P13)</f>
        <v>7.899</v>
      </c>
      <c r="T13" s="3">
        <f>+(C13+E13+F13+G13+H13+I13+K13+N13+Q13)</f>
        <v>10.164000000000001</v>
      </c>
      <c r="U13" s="3">
        <f>+(D13+E13+F13+G13+H13+I13+L13+O13+R13)</f>
        <v>15.2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</row>
    <row r="14" spans="1:114" s="4" customFormat="1" ht="15" customHeight="1" x14ac:dyDescent="0.15">
      <c r="A14" s="2" t="s">
        <v>49</v>
      </c>
      <c r="B14" s="3">
        <f>2.09+1.337</f>
        <v>3.4269999999999996</v>
      </c>
      <c r="C14" s="3">
        <f>4.296+2.748</f>
        <v>7.0440000000000005</v>
      </c>
      <c r="D14" s="3">
        <f>9.2+5.885</f>
        <v>15.084999999999999</v>
      </c>
      <c r="E14" s="3"/>
      <c r="F14" s="3"/>
      <c r="G14" s="3">
        <v>1.03</v>
      </c>
      <c r="H14" s="3">
        <v>0.3</v>
      </c>
      <c r="I14" s="3">
        <v>1.552</v>
      </c>
      <c r="J14" s="3"/>
      <c r="K14" s="3"/>
      <c r="L14" s="3"/>
      <c r="M14" s="3"/>
      <c r="N14" s="3"/>
      <c r="O14" s="3"/>
      <c r="P14" s="3"/>
      <c r="Q14" s="3"/>
      <c r="R14" s="3"/>
      <c r="S14" s="3">
        <f>+(B14+E14+F14+G14+H14+I14+J14+M14+P14)</f>
        <v>6.3089999999999993</v>
      </c>
      <c r="T14" s="3">
        <f>+(C14+E14+F14+G14+H14+I14+K14+N14+Q14)</f>
        <v>9.9260000000000002</v>
      </c>
      <c r="U14" s="3">
        <f>+(D14+E14+F14+G14+H14+I14+L14+O14+R14)</f>
        <v>17.966999999999999</v>
      </c>
    </row>
    <row r="15" spans="1:114" s="4" customFormat="1" ht="15" customHeight="1" x14ac:dyDescent="0.15">
      <c r="A15" s="2" t="s">
        <v>123</v>
      </c>
      <c r="B15" s="3">
        <f>2.09+1.011</f>
        <v>3.101</v>
      </c>
      <c r="C15" s="3">
        <f>4.296+2.078</f>
        <v>6.3740000000000006</v>
      </c>
      <c r="D15" s="3">
        <f>9.2+4.45</f>
        <v>13.649999999999999</v>
      </c>
      <c r="E15" s="3"/>
      <c r="F15" s="3"/>
      <c r="G15" s="3">
        <v>2</v>
      </c>
      <c r="H15" s="3">
        <v>0.27900000000000003</v>
      </c>
      <c r="I15" s="3">
        <v>1.552</v>
      </c>
      <c r="J15" s="3"/>
      <c r="K15" s="3"/>
      <c r="L15" s="3"/>
      <c r="M15" s="3"/>
      <c r="N15" s="3"/>
      <c r="O15" s="3"/>
      <c r="P15" s="3"/>
      <c r="Q15" s="3"/>
      <c r="R15" s="3"/>
      <c r="S15" s="3">
        <f>+(B15+E15+F15+G15+H15+I15+J15+M15+P15)</f>
        <v>6.9320000000000004</v>
      </c>
      <c r="T15" s="3">
        <f>+(C15+E15+F15+G15+H15+I15+K15+N15+Q15)</f>
        <v>10.205</v>
      </c>
      <c r="U15" s="3">
        <f>+(D15+E15+F15+G15+H15+I15+L15+O15+R15)</f>
        <v>17.480999999999998</v>
      </c>
    </row>
    <row r="16" spans="1:114" s="4" customFormat="1" ht="15" customHeight="1" x14ac:dyDescent="0.15">
      <c r="A16" s="2" t="s">
        <v>7</v>
      </c>
      <c r="B16" s="3">
        <f>2.09+0.683</f>
        <v>2.7729999999999997</v>
      </c>
      <c r="C16" s="3">
        <f>4.296+1.404</f>
        <v>5.7</v>
      </c>
      <c r="D16" s="3">
        <f>9.2+3.006</f>
        <v>12.206</v>
      </c>
      <c r="E16" s="3"/>
      <c r="F16" s="3"/>
      <c r="G16" s="3">
        <v>2.9239999999999999</v>
      </c>
      <c r="H16" s="3">
        <v>0.29199999999999998</v>
      </c>
      <c r="I16" s="3">
        <v>1.552</v>
      </c>
      <c r="J16" s="3"/>
      <c r="K16" s="3"/>
      <c r="L16" s="3"/>
      <c r="M16" s="3">
        <v>1E-3</v>
      </c>
      <c r="N16" s="3">
        <v>2E-3</v>
      </c>
      <c r="O16" s="3">
        <v>4.0000000000000001E-3</v>
      </c>
      <c r="P16" s="3"/>
      <c r="Q16" s="3"/>
      <c r="R16" s="3"/>
      <c r="S16" s="3">
        <f>+(B16+E16+F16+G16+H16+I16+J16+M16+P16)</f>
        <v>7.5419999999999989</v>
      </c>
      <c r="T16" s="3">
        <f>+(C16+E16+F16+G16+H16+I16+K16+N16+Q16)</f>
        <v>10.47</v>
      </c>
      <c r="U16" s="3">
        <f>+(D16+E16+F16+G16+H16+I16+L16+O16+R16)</f>
        <v>16.978000000000002</v>
      </c>
    </row>
    <row r="17" spans="1:21" s="4" customFormat="1" ht="15" customHeight="1" x14ac:dyDescent="0.15">
      <c r="A17" s="2" t="s">
        <v>43</v>
      </c>
      <c r="B17" s="3">
        <f>2.09+1.204</f>
        <v>3.2939999999999996</v>
      </c>
      <c r="C17" s="3">
        <f>4.296+2.475</f>
        <v>6.7710000000000008</v>
      </c>
      <c r="D17" s="3">
        <f>9.2+5.3</f>
        <v>14.5</v>
      </c>
      <c r="E17" s="3"/>
      <c r="F17" s="3"/>
      <c r="G17" s="3">
        <v>1.0680000000000001</v>
      </c>
      <c r="H17" s="3">
        <v>0.27600000000000002</v>
      </c>
      <c r="I17" s="3">
        <v>1.2809999999999999</v>
      </c>
      <c r="J17" s="3"/>
      <c r="K17" s="3"/>
      <c r="L17" s="3"/>
      <c r="M17" s="3">
        <v>1E-3</v>
      </c>
      <c r="N17" s="3">
        <v>2E-3</v>
      </c>
      <c r="O17" s="3">
        <v>4.0000000000000001E-3</v>
      </c>
      <c r="P17" s="3"/>
      <c r="Q17" s="3"/>
      <c r="R17" s="3"/>
      <c r="S17" s="3">
        <f>+(B17+E17+F17+G17+H17+I17+J17+M17+P17)</f>
        <v>5.92</v>
      </c>
      <c r="T17" s="3">
        <f>+(C17+E17+F17+G17+H17+I17+K17+N17+Q17)</f>
        <v>9.3980000000000015</v>
      </c>
      <c r="U17" s="3">
        <f>+(D17+E17+F17+G17+H17+I17+L17+O17+R17)</f>
        <v>17.129000000000001</v>
      </c>
    </row>
    <row r="18" spans="1:21" s="4" customFormat="1" ht="15" customHeight="1" x14ac:dyDescent="0.15">
      <c r="A18" s="2" t="s">
        <v>90</v>
      </c>
      <c r="B18" s="3">
        <v>2.09</v>
      </c>
      <c r="C18" s="3">
        <v>4.2960000000000003</v>
      </c>
      <c r="D18" s="3">
        <v>9.1999999999999993</v>
      </c>
      <c r="E18" s="3">
        <v>1.601</v>
      </c>
      <c r="F18" s="3"/>
      <c r="G18" s="3">
        <v>3</v>
      </c>
      <c r="H18" s="3">
        <v>0.3</v>
      </c>
      <c r="I18" s="3">
        <v>1.35</v>
      </c>
      <c r="J18" s="3"/>
      <c r="K18" s="3"/>
      <c r="L18" s="3"/>
      <c r="M18" s="3">
        <v>2.9000000000000001E-2</v>
      </c>
      <c r="N18" s="3">
        <v>0.06</v>
      </c>
      <c r="O18" s="3">
        <v>0.128</v>
      </c>
      <c r="P18" s="3">
        <v>1.2999999999999999E-2</v>
      </c>
      <c r="Q18" s="3">
        <v>1.2999999999999999E-2</v>
      </c>
      <c r="R18" s="3">
        <v>1.2999999999999999E-2</v>
      </c>
      <c r="S18" s="3">
        <f>+(B18+E18+F18+G18+H18+I18+J18+M18+P18)</f>
        <v>8.3829999999999991</v>
      </c>
      <c r="T18" s="3">
        <f>+(C18+E18+F18+G18+H18+I18+K18+N18+Q18)</f>
        <v>10.620000000000001</v>
      </c>
      <c r="U18" s="3">
        <f>+(D18+E18+F18+G18+H18+I18+L18+O18+R18)</f>
        <v>15.591999999999999</v>
      </c>
    </row>
    <row r="19" spans="1:21" s="4" customFormat="1" ht="15" customHeight="1" x14ac:dyDescent="0.15">
      <c r="A19" s="2" t="s">
        <v>136</v>
      </c>
      <c r="B19" s="3">
        <f>2.09+0.269</f>
        <v>2.359</v>
      </c>
      <c r="C19" s="3">
        <f>4.296+0.553</f>
        <v>4.8490000000000002</v>
      </c>
      <c r="D19" s="3">
        <f>9.2+1.184</f>
        <v>10.383999999999999</v>
      </c>
      <c r="E19" s="3">
        <v>0.56899999999999995</v>
      </c>
      <c r="F19" s="3"/>
      <c r="G19" s="3">
        <v>2.4870000000000001</v>
      </c>
      <c r="H19" s="3">
        <v>0.28599999999999998</v>
      </c>
      <c r="I19" s="3">
        <v>1.552</v>
      </c>
      <c r="J19" s="3"/>
      <c r="K19" s="3"/>
      <c r="L19" s="3"/>
      <c r="M19" s="3">
        <v>1E-3</v>
      </c>
      <c r="N19" s="3">
        <v>2E-3</v>
      </c>
      <c r="O19" s="3">
        <v>4.0000000000000001E-3</v>
      </c>
      <c r="P19" s="3">
        <v>1E-3</v>
      </c>
      <c r="Q19" s="3">
        <v>1E-3</v>
      </c>
      <c r="R19" s="3">
        <v>1E-3</v>
      </c>
      <c r="S19" s="3">
        <f>+(B19+E19+F19+G19+H19+I19+J19+M19+P19)</f>
        <v>7.2550000000000008</v>
      </c>
      <c r="T19" s="3">
        <f>+(C19+E19+F19+G19+H19+I19+K19+N19+Q19)</f>
        <v>9.7460000000000004</v>
      </c>
      <c r="U19" s="3">
        <f>+(D19+E19+F19+G19+H19+I19+L19+O19+R19)</f>
        <v>15.282999999999998</v>
      </c>
    </row>
    <row r="20" spans="1:21" s="4" customFormat="1" ht="15" customHeight="1" x14ac:dyDescent="0.15">
      <c r="A20" s="4" t="s">
        <v>168</v>
      </c>
      <c r="B20" s="3">
        <v>2.09</v>
      </c>
      <c r="C20" s="3">
        <v>4.2960000000000003</v>
      </c>
      <c r="D20" s="3">
        <v>9.1999999999999993</v>
      </c>
      <c r="E20" s="3"/>
      <c r="F20" s="3"/>
      <c r="G20" s="3">
        <v>1.7989999999999999</v>
      </c>
      <c r="H20" s="3">
        <v>0.29099999999999998</v>
      </c>
      <c r="I20" s="3">
        <v>0.8</v>
      </c>
      <c r="J20" s="3"/>
      <c r="K20" s="3"/>
      <c r="L20" s="3"/>
      <c r="M20" s="3"/>
      <c r="N20" s="3"/>
      <c r="O20" s="3"/>
      <c r="P20" s="3"/>
      <c r="Q20" s="3"/>
      <c r="R20" s="3"/>
      <c r="S20" s="3">
        <f>+(B20+E20+F20+G20+H20+I20+J20+M20+P20)</f>
        <v>4.9799999999999995</v>
      </c>
      <c r="T20" s="3">
        <f>+(C20+E20+F20+G20+H20+I20+K20+N20+Q20)</f>
        <v>7.1860000000000008</v>
      </c>
      <c r="U20" s="3">
        <f>+(D20+E20+F20+G20+H20+I20+L20+O20+R20)</f>
        <v>12.09</v>
      </c>
    </row>
    <row r="21" spans="1:21" s="4" customFormat="1" ht="15" customHeight="1" x14ac:dyDescent="0.15">
      <c r="A21" s="6" t="s">
        <v>9</v>
      </c>
      <c r="B21" s="3">
        <f>2.09+0.2</f>
        <v>2.29</v>
      </c>
      <c r="C21" s="3">
        <f>4.296+0.411</f>
        <v>4.7069999999999999</v>
      </c>
      <c r="D21" s="3">
        <f>9.2+0.88</f>
        <v>10.08</v>
      </c>
      <c r="E21" s="3">
        <v>0.56999999999999995</v>
      </c>
      <c r="F21" s="3">
        <v>0.35599999999999998</v>
      </c>
      <c r="G21" s="3">
        <v>3</v>
      </c>
      <c r="H21" s="3">
        <v>0.3</v>
      </c>
      <c r="I21" s="3">
        <v>1.552</v>
      </c>
      <c r="J21" s="3"/>
      <c r="K21" s="3"/>
      <c r="L21" s="3"/>
      <c r="M21" s="3">
        <v>4.7E-2</v>
      </c>
      <c r="N21" s="3">
        <v>9.7000000000000003E-2</v>
      </c>
      <c r="O21" s="3">
        <v>0.20699999999999999</v>
      </c>
      <c r="P21" s="3">
        <v>3.1E-2</v>
      </c>
      <c r="Q21" s="3">
        <v>3.1E-2</v>
      </c>
      <c r="R21" s="3">
        <v>3.1E-2</v>
      </c>
      <c r="S21" s="3">
        <f>+(B21+E21+F21+G21+H21+I21+J21+M21+P21)</f>
        <v>8.1460000000000008</v>
      </c>
      <c r="T21" s="3">
        <f>+(C21+E21+F21+G21+H21+I21+K21+N21+Q21)</f>
        <v>10.613</v>
      </c>
      <c r="U21" s="3">
        <f>+(D21+E21+F21+G21+H21+I21+L21+O21+R21)</f>
        <v>16.096</v>
      </c>
    </row>
    <row r="22" spans="1:21" s="4" customFormat="1" ht="15" customHeight="1" x14ac:dyDescent="0.15">
      <c r="A22" s="2" t="s">
        <v>52</v>
      </c>
      <c r="B22" s="3">
        <f>2.09+1.566</f>
        <v>3.6559999999999997</v>
      </c>
      <c r="C22" s="3">
        <f>4.296+3.219</f>
        <v>7.5150000000000006</v>
      </c>
      <c r="D22" s="3">
        <f>9.2+6.893</f>
        <v>16.093</v>
      </c>
      <c r="E22" s="3"/>
      <c r="F22" s="3"/>
      <c r="G22" s="3">
        <v>1.54</v>
      </c>
      <c r="H22" s="3">
        <v>0.3</v>
      </c>
      <c r="I22" s="3">
        <v>1.552</v>
      </c>
      <c r="J22" s="3"/>
      <c r="K22" s="3"/>
      <c r="L22" s="3"/>
      <c r="M22" s="3">
        <v>2E-3</v>
      </c>
      <c r="N22" s="3">
        <v>4.0000000000000001E-3</v>
      </c>
      <c r="O22" s="3">
        <v>8.9999999999999993E-3</v>
      </c>
      <c r="P22" s="3"/>
      <c r="Q22" s="3"/>
      <c r="R22" s="3"/>
      <c r="S22" s="3">
        <f>+(B22+E22+F22+G22+H22+I22+J22+M22+P22)</f>
        <v>7.05</v>
      </c>
      <c r="T22" s="3">
        <f>+(C22+E22+F22+G22+H22+I22+K22+N22+Q22)</f>
        <v>10.911</v>
      </c>
      <c r="U22" s="3">
        <f>+(D22+E22+F22+G22+H22+I22+L22+O22+R22)</f>
        <v>19.494</v>
      </c>
    </row>
    <row r="23" spans="1:21" s="4" customFormat="1" ht="15" customHeight="1" x14ac:dyDescent="0.15">
      <c r="A23" s="2" t="s">
        <v>79</v>
      </c>
      <c r="B23" s="3">
        <f>2.09+1.155</f>
        <v>3.2450000000000001</v>
      </c>
      <c r="C23" s="3">
        <f>4.296+2.374</f>
        <v>6.67</v>
      </c>
      <c r="D23" s="3">
        <f>9.2+5.084</f>
        <v>14.283999999999999</v>
      </c>
      <c r="E23" s="3">
        <v>1.881</v>
      </c>
      <c r="F23" s="3"/>
      <c r="G23" s="3">
        <v>2.9390000000000001</v>
      </c>
      <c r="H23" s="3">
        <v>0.29399999999999998</v>
      </c>
      <c r="I23" s="3">
        <v>1.552</v>
      </c>
      <c r="J23" s="3"/>
      <c r="K23" s="3"/>
      <c r="L23" s="3"/>
      <c r="M23" s="3"/>
      <c r="N23" s="3"/>
      <c r="O23" s="3"/>
      <c r="P23" s="3"/>
      <c r="Q23" s="3"/>
      <c r="R23" s="3"/>
      <c r="S23" s="3">
        <f>+(B23+E23+F23+G23+H23+I23+J23+M23+P23)</f>
        <v>9.9110000000000014</v>
      </c>
      <c r="T23" s="3">
        <f>+(C23+E23+F23+G23+H23+I23+K23+N23+Q23)</f>
        <v>13.336</v>
      </c>
      <c r="U23" s="3">
        <f>+(D23+E23+F23+G23+H23+I23+L23+O23+R23)</f>
        <v>20.95</v>
      </c>
    </row>
    <row r="24" spans="1:21" s="4" customFormat="1" ht="15" customHeight="1" x14ac:dyDescent="0.15">
      <c r="A24" s="2" t="s">
        <v>75</v>
      </c>
      <c r="B24" s="3">
        <v>2.09</v>
      </c>
      <c r="C24" s="3">
        <v>4.2960000000000003</v>
      </c>
      <c r="D24" s="3">
        <v>9.1999999999999993</v>
      </c>
      <c r="E24" s="3">
        <v>1.0429999999999999</v>
      </c>
      <c r="F24" s="3"/>
      <c r="G24" s="3">
        <v>2.59</v>
      </c>
      <c r="H24" s="3">
        <v>0.3</v>
      </c>
      <c r="I24" s="3">
        <v>1.552</v>
      </c>
      <c r="J24" s="3"/>
      <c r="K24" s="3"/>
      <c r="L24" s="3"/>
      <c r="M24" s="3"/>
      <c r="N24" s="3"/>
      <c r="O24" s="3"/>
      <c r="P24" s="3"/>
      <c r="Q24" s="3"/>
      <c r="R24" s="3"/>
      <c r="S24" s="3">
        <f>+(B24+E24+F24+G24+H24+I24+J24+M24+P24)</f>
        <v>7.5749999999999993</v>
      </c>
      <c r="T24" s="3">
        <f>+(C24+E24+F24+G24+H24+I24+K24+N24+Q24)</f>
        <v>9.7810000000000006</v>
      </c>
      <c r="U24" s="3">
        <f>+(D24+E24+F24+G24+H24+I24+L24+O24+R24)</f>
        <v>14.684999999999999</v>
      </c>
    </row>
    <row r="25" spans="1:21" s="4" customFormat="1" ht="15" customHeight="1" x14ac:dyDescent="0.15">
      <c r="A25" s="2" t="s">
        <v>55</v>
      </c>
      <c r="B25" s="3">
        <f>2.09+1.116</f>
        <v>3.206</v>
      </c>
      <c r="C25" s="3">
        <f>4.296+2.294</f>
        <v>6.59</v>
      </c>
      <c r="D25" s="3">
        <f>9.2+4.913</f>
        <v>14.113</v>
      </c>
      <c r="E25" s="3"/>
      <c r="F25" s="3"/>
      <c r="G25" s="3">
        <v>1.9</v>
      </c>
      <c r="H25" s="3">
        <v>0.28199999999999997</v>
      </c>
      <c r="I25" s="3">
        <v>1.3520000000000001</v>
      </c>
      <c r="J25" s="3"/>
      <c r="K25" s="3"/>
      <c r="L25" s="3"/>
      <c r="M25" s="3"/>
      <c r="N25" s="3"/>
      <c r="O25" s="3"/>
      <c r="P25" s="3"/>
      <c r="Q25" s="3"/>
      <c r="R25" s="3"/>
      <c r="S25" s="3">
        <f>+(B25+E25+F25+G25+H25+I25+J25+M25+P25)</f>
        <v>6.74</v>
      </c>
      <c r="T25" s="3">
        <f>+(C25+E25+F25+G25+H25+I25+K25+N25+Q25)</f>
        <v>10.124000000000001</v>
      </c>
      <c r="U25" s="3">
        <f>+(D25+E25+F25+G25+H25+I25+L25+O25+R25)</f>
        <v>17.646999999999998</v>
      </c>
    </row>
    <row r="26" spans="1:21" s="4" customFormat="1" ht="15" customHeight="1" x14ac:dyDescent="0.15">
      <c r="A26" s="2" t="s">
        <v>113</v>
      </c>
      <c r="B26" s="3">
        <f>2.09+0.699</f>
        <v>2.7889999999999997</v>
      </c>
      <c r="C26" s="3">
        <f>4.296+1.437</f>
        <v>5.7330000000000005</v>
      </c>
      <c r="D26" s="3">
        <f>9.2+3.077</f>
        <v>12.276999999999999</v>
      </c>
      <c r="E26" s="3">
        <v>0.70399999999999996</v>
      </c>
      <c r="F26" s="3"/>
      <c r="G26" s="3">
        <v>1.4</v>
      </c>
      <c r="H26" s="3">
        <v>0.29899999999999999</v>
      </c>
      <c r="I26" s="3">
        <v>1.552</v>
      </c>
      <c r="J26" s="3"/>
      <c r="K26" s="3"/>
      <c r="L26" s="3"/>
      <c r="M26" s="3"/>
      <c r="N26" s="3"/>
      <c r="O26" s="3"/>
      <c r="P26" s="3"/>
      <c r="Q26" s="3"/>
      <c r="R26" s="3"/>
      <c r="S26" s="3">
        <f>+(B26+E26+F26+G26+H26+I26+J26+M26+P26)</f>
        <v>6.7439999999999998</v>
      </c>
      <c r="T26" s="3">
        <f>+(C26+E26+F26+G26+H26+I26+K26+N26+Q26)</f>
        <v>9.6879999999999988</v>
      </c>
      <c r="U26" s="3">
        <f>+(D26+E26+F26+G26+H26+I26+L26+O26+R26)</f>
        <v>16.231999999999999</v>
      </c>
    </row>
    <row r="27" spans="1:21" s="4" customFormat="1" ht="15" customHeight="1" x14ac:dyDescent="0.15">
      <c r="A27" s="2" t="s">
        <v>14</v>
      </c>
      <c r="B27" s="3">
        <v>2.09</v>
      </c>
      <c r="C27" s="3">
        <v>4.2960000000000003</v>
      </c>
      <c r="D27" s="3">
        <v>9.1999999999999993</v>
      </c>
      <c r="E27" s="3"/>
      <c r="F27" s="3"/>
      <c r="G27" s="3">
        <v>2.992</v>
      </c>
      <c r="H27" s="3">
        <v>0.29899999999999999</v>
      </c>
      <c r="I27" s="3">
        <v>1.552</v>
      </c>
      <c r="J27" s="3"/>
      <c r="K27" s="3"/>
      <c r="L27" s="3"/>
      <c r="M27" s="3"/>
      <c r="N27" s="3"/>
      <c r="O27" s="3"/>
      <c r="P27" s="3"/>
      <c r="Q27" s="3"/>
      <c r="R27" s="3"/>
      <c r="S27" s="3">
        <f>+(B27+E27+F27+G27+H27+I27+J27+M27+P27)</f>
        <v>6.9329999999999998</v>
      </c>
      <c r="T27" s="3">
        <f>+(C27+E27+F27+G27+H27+I27+K27+N27+Q27)</f>
        <v>9.1390000000000011</v>
      </c>
      <c r="U27" s="3">
        <f>+(D27+E27+F27+G27+H27+I27+L27+O27+R27)</f>
        <v>14.042999999999999</v>
      </c>
    </row>
    <row r="28" spans="1:21" s="4" customFormat="1" ht="15" customHeight="1" x14ac:dyDescent="0.15">
      <c r="A28" s="2" t="s">
        <v>70</v>
      </c>
      <c r="B28" s="3">
        <v>2.09</v>
      </c>
      <c r="C28" s="3">
        <v>4.2960000000000003</v>
      </c>
      <c r="D28" s="3">
        <v>9.1999999999999993</v>
      </c>
      <c r="E28" s="3"/>
      <c r="F28" s="3"/>
      <c r="G28" s="3">
        <v>2.9180000000000001</v>
      </c>
      <c r="H28" s="3">
        <v>0.29199999999999998</v>
      </c>
      <c r="I28" s="3">
        <v>1.552</v>
      </c>
      <c r="J28" s="3"/>
      <c r="K28" s="3"/>
      <c r="L28" s="3"/>
      <c r="M28" s="3"/>
      <c r="N28" s="3"/>
      <c r="O28" s="3"/>
      <c r="P28" s="3"/>
      <c r="Q28" s="3"/>
      <c r="R28" s="3"/>
      <c r="S28" s="3">
        <f>+(B28+E28+F28+G28+H28+I28+J28+M28+P28)</f>
        <v>6.8520000000000003</v>
      </c>
      <c r="T28" s="3">
        <f>+(C28+E28+F28+G28+H28+I28+K28+N28+Q28)</f>
        <v>9.0579999999999998</v>
      </c>
      <c r="U28" s="3">
        <f>+(D28+E28+F28+G28+H28+I28+L28+O28+R28)</f>
        <v>13.961999999999998</v>
      </c>
    </row>
    <row r="29" spans="1:21" s="4" customFormat="1" ht="15" customHeight="1" x14ac:dyDescent="0.15">
      <c r="A29" s="2" t="s">
        <v>21</v>
      </c>
      <c r="B29" s="3">
        <f>2.09+0.424</f>
        <v>2.5139999999999998</v>
      </c>
      <c r="C29" s="3">
        <f>4.296+0.872</f>
        <v>5.1680000000000001</v>
      </c>
      <c r="D29" s="3">
        <f>9.2+1.866</f>
        <v>11.065999999999999</v>
      </c>
      <c r="E29" s="3">
        <v>0.72299999999999998</v>
      </c>
      <c r="F29" s="3"/>
      <c r="G29" s="3">
        <v>1.25</v>
      </c>
      <c r="H29" s="3">
        <v>0</v>
      </c>
      <c r="I29" s="3">
        <v>1</v>
      </c>
      <c r="J29" s="3"/>
      <c r="K29" s="3"/>
      <c r="L29" s="3"/>
      <c r="M29" s="3">
        <v>2E-3</v>
      </c>
      <c r="N29" s="3">
        <v>4.0000000000000001E-3</v>
      </c>
      <c r="O29" s="3">
        <v>8.9999999999999993E-3</v>
      </c>
      <c r="P29" s="3">
        <v>1E-3</v>
      </c>
      <c r="Q29" s="3">
        <v>1E-3</v>
      </c>
      <c r="R29" s="3">
        <v>1E-3</v>
      </c>
      <c r="S29" s="3">
        <f>+(B29+E29+F29+G29+H29+I29+J29+M29+P29)</f>
        <v>5.49</v>
      </c>
      <c r="T29" s="3">
        <f>+(C29+E29+F29+G29+H29+I29+K29+N29+Q29)</f>
        <v>8.145999999999999</v>
      </c>
      <c r="U29" s="3">
        <f>+(D29+E29+F29+G29+H29+I29+L29+O29+R29)</f>
        <v>14.048999999999999</v>
      </c>
    </row>
    <row r="30" spans="1:21" s="4" customFormat="1" ht="15" customHeight="1" x14ac:dyDescent="0.15">
      <c r="A30" s="2" t="s">
        <v>162</v>
      </c>
      <c r="B30" s="3">
        <v>2.09</v>
      </c>
      <c r="C30" s="3">
        <v>4.2960000000000003</v>
      </c>
      <c r="D30" s="3">
        <v>9.1999999999999993</v>
      </c>
      <c r="E30" s="3">
        <v>1.272</v>
      </c>
      <c r="F30" s="3"/>
      <c r="G30" s="3">
        <v>2.5</v>
      </c>
      <c r="H30" s="3">
        <v>0.29899999999999999</v>
      </c>
      <c r="I30" s="3">
        <v>1.552</v>
      </c>
      <c r="J30" s="3"/>
      <c r="K30" s="3"/>
      <c r="L30" s="3"/>
      <c r="M30" s="3"/>
      <c r="N30" s="3"/>
      <c r="O30" s="3"/>
      <c r="P30" s="3"/>
      <c r="Q30" s="3"/>
      <c r="R30" s="3"/>
      <c r="S30" s="3">
        <f>+(B30+E30+F30+G30+H30+I30+J30+M30+P30)</f>
        <v>7.713000000000001</v>
      </c>
      <c r="T30" s="3">
        <f>+(C30+E30+F30+G30+H30+I30+K30+N30+Q30)</f>
        <v>9.9190000000000005</v>
      </c>
      <c r="U30" s="3">
        <f>+(D30+E30+F30+G30+H30+I30+L30+O30+R30)</f>
        <v>14.822999999999999</v>
      </c>
    </row>
    <row r="31" spans="1:21" s="4" customFormat="1" ht="15" customHeight="1" x14ac:dyDescent="0.15">
      <c r="A31" s="2" t="s">
        <v>134</v>
      </c>
      <c r="B31" s="3">
        <v>2.09</v>
      </c>
      <c r="C31" s="3">
        <v>4.2960000000000003</v>
      </c>
      <c r="D31" s="3">
        <v>9.1999999999999993</v>
      </c>
      <c r="E31" s="3"/>
      <c r="F31" s="3"/>
      <c r="G31" s="3">
        <v>2.4870000000000001</v>
      </c>
      <c r="H31" s="3">
        <v>0.3</v>
      </c>
      <c r="I31" s="3">
        <v>1.55</v>
      </c>
      <c r="J31" s="3"/>
      <c r="K31" s="3"/>
      <c r="L31" s="3"/>
      <c r="M31" s="3">
        <v>1E-3</v>
      </c>
      <c r="N31" s="3">
        <v>2E-3</v>
      </c>
      <c r="O31" s="3">
        <v>4.0000000000000001E-3</v>
      </c>
      <c r="P31" s="3">
        <v>1E-3</v>
      </c>
      <c r="Q31" s="3">
        <v>1E-3</v>
      </c>
      <c r="R31" s="3">
        <v>1E-3</v>
      </c>
      <c r="S31" s="3">
        <f>+(B31+E31+F31+G31+H31+I31+J31+M31+P31)</f>
        <v>6.4290000000000003</v>
      </c>
      <c r="T31" s="3">
        <f>+(C31+E31+F31+G31+H31+I31+K31+N31+Q31)</f>
        <v>8.636000000000001</v>
      </c>
      <c r="U31" s="3">
        <f>+(D31+E31+F31+G31+H31+I31+L31+O31+R31)</f>
        <v>13.542</v>
      </c>
    </row>
    <row r="32" spans="1:21" s="4" customFormat="1" ht="15" customHeight="1" x14ac:dyDescent="0.15">
      <c r="A32" s="2" t="s">
        <v>42</v>
      </c>
      <c r="B32" s="3">
        <f>2.09+0.684</f>
        <v>2.774</v>
      </c>
      <c r="C32" s="3">
        <f>4.296+1.406</f>
        <v>5.702</v>
      </c>
      <c r="D32" s="3">
        <f>9.2+3.011</f>
        <v>12.210999999999999</v>
      </c>
      <c r="E32" s="3"/>
      <c r="F32" s="3"/>
      <c r="G32" s="3">
        <v>1.98</v>
      </c>
      <c r="H32" s="3">
        <v>0.28899999999999998</v>
      </c>
      <c r="I32" s="3">
        <v>1.3520000000000001</v>
      </c>
      <c r="J32" s="3"/>
      <c r="K32" s="3"/>
      <c r="L32" s="3"/>
      <c r="M32" s="3"/>
      <c r="N32" s="3"/>
      <c r="O32" s="3"/>
      <c r="P32" s="3"/>
      <c r="Q32" s="3"/>
      <c r="R32" s="3"/>
      <c r="S32" s="3">
        <f>+(B32+E32+F32+G32+H32+I32+J32+M32+P32)</f>
        <v>6.3949999999999996</v>
      </c>
      <c r="T32" s="3">
        <f>+(C32+E32+F32+G32+H32+I32+K32+N32+Q32)</f>
        <v>9.3230000000000004</v>
      </c>
      <c r="U32" s="3">
        <f>+(D32+E32+F32+G32+H32+I32+L32+O32+R32)</f>
        <v>15.831999999999999</v>
      </c>
    </row>
    <row r="33" spans="1:21" s="4" customFormat="1" ht="15" customHeight="1" x14ac:dyDescent="0.15">
      <c r="A33" s="2" t="s">
        <v>31</v>
      </c>
      <c r="B33" s="3">
        <v>2.09</v>
      </c>
      <c r="C33" s="3">
        <v>4.2960000000000003</v>
      </c>
      <c r="D33" s="3">
        <v>9.1999999999999993</v>
      </c>
      <c r="E33" s="3"/>
      <c r="F33" s="3"/>
      <c r="G33" s="3">
        <v>3</v>
      </c>
      <c r="H33" s="3">
        <v>0.3</v>
      </c>
      <c r="I33" s="3">
        <v>1.552</v>
      </c>
      <c r="J33" s="3"/>
      <c r="K33" s="3"/>
      <c r="L33" s="3"/>
      <c r="M33" s="3">
        <v>2.5000000000000001E-2</v>
      </c>
      <c r="N33" s="3">
        <v>5.0999999999999997E-2</v>
      </c>
      <c r="O33" s="3">
        <v>0.11</v>
      </c>
      <c r="P33" s="3">
        <v>1.2E-2</v>
      </c>
      <c r="Q33" s="3">
        <v>1.2E-2</v>
      </c>
      <c r="R33" s="3">
        <v>1.2E-2</v>
      </c>
      <c r="S33" s="3">
        <f>+(B33+E33+F33+G33+H33+I33+J33+M33+P33)</f>
        <v>6.9790000000000001</v>
      </c>
      <c r="T33" s="3">
        <f>+(C33+E33+F33+G33+H33+I33+K33+N33+Q33)</f>
        <v>9.2110000000000003</v>
      </c>
      <c r="U33" s="3">
        <f>+(D33+E33+F33+G33+H33+I33+L33+O33+R33)</f>
        <v>14.173999999999999</v>
      </c>
    </row>
    <row r="34" spans="1:21" s="4" customFormat="1" ht="15" customHeight="1" x14ac:dyDescent="0.15">
      <c r="A34" s="2" t="s">
        <v>117</v>
      </c>
      <c r="B34" s="3">
        <f>2.09+0.319</f>
        <v>2.4089999999999998</v>
      </c>
      <c r="C34" s="3">
        <f>4.296+0.656</f>
        <v>4.952</v>
      </c>
      <c r="D34" s="3">
        <f>9.2+1.404</f>
        <v>10.603999999999999</v>
      </c>
      <c r="E34" s="3">
        <v>0.96399999999999997</v>
      </c>
      <c r="F34" s="3"/>
      <c r="G34" s="3">
        <v>3</v>
      </c>
      <c r="H34" s="3">
        <v>0.3</v>
      </c>
      <c r="I34" s="3">
        <v>1.55</v>
      </c>
      <c r="J34" s="3"/>
      <c r="K34" s="3"/>
      <c r="L34" s="3"/>
      <c r="M34" s="3">
        <v>1E-3</v>
      </c>
      <c r="N34" s="3">
        <v>2E-3</v>
      </c>
      <c r="O34" s="3">
        <v>4.0000000000000001E-3</v>
      </c>
      <c r="P34" s="3"/>
      <c r="Q34" s="3"/>
      <c r="R34" s="3"/>
      <c r="S34" s="3">
        <f>+(B34+E34+F34+G34+H34+I34+J34+M34+P34)</f>
        <v>8.2239999999999984</v>
      </c>
      <c r="T34" s="3">
        <f>+(C34+E34+F34+G34+H34+I34+K34+N34+Q34)</f>
        <v>10.768000000000002</v>
      </c>
      <c r="U34" s="3">
        <f>+(D34+E34+F34+G34+H34+I34+L34+O34+R34)</f>
        <v>16.422000000000001</v>
      </c>
    </row>
    <row r="35" spans="1:21" s="4" customFormat="1" ht="15" customHeight="1" x14ac:dyDescent="0.15">
      <c r="A35" s="2" t="s">
        <v>68</v>
      </c>
      <c r="B35" s="3">
        <f>2.09+0.514</f>
        <v>2.6040000000000001</v>
      </c>
      <c r="C35" s="3">
        <f>4.296+1.057</f>
        <v>5.3529999999999998</v>
      </c>
      <c r="D35" s="3">
        <f>9.2+2.263</f>
        <v>11.462999999999999</v>
      </c>
      <c r="E35" s="3">
        <v>0.77600000000000002</v>
      </c>
      <c r="F35" s="3"/>
      <c r="G35" s="3">
        <v>1.75</v>
      </c>
      <c r="H35" s="3">
        <v>0.28899999999999998</v>
      </c>
      <c r="I35" s="3">
        <v>1</v>
      </c>
      <c r="J35" s="3"/>
      <c r="K35" s="3"/>
      <c r="L35" s="3"/>
      <c r="M35" s="3">
        <v>3.5000000000000003E-2</v>
      </c>
      <c r="N35" s="3">
        <v>7.1999999999999995E-2</v>
      </c>
      <c r="O35" s="3">
        <v>0.154</v>
      </c>
      <c r="P35" s="3">
        <v>0.01</v>
      </c>
      <c r="Q35" s="3">
        <v>0.01</v>
      </c>
      <c r="R35" s="3">
        <v>0.01</v>
      </c>
      <c r="S35" s="3">
        <f>+(B35+E35+F35+G35+H35+I35+J35+M35+P35)</f>
        <v>6.4639999999999995</v>
      </c>
      <c r="T35" s="3">
        <f>+(C35+E35+F35+G35+H35+I35+K35+N35+Q35)</f>
        <v>9.2499999999999982</v>
      </c>
      <c r="U35" s="3">
        <f>+(D35+E35+F35+G35+H35+I35+L35+O35+R35)</f>
        <v>15.441999999999998</v>
      </c>
    </row>
    <row r="36" spans="1:21" s="4" customFormat="1" ht="15" customHeight="1" x14ac:dyDescent="0.15">
      <c r="A36" s="2" t="s">
        <v>91</v>
      </c>
      <c r="B36" s="3">
        <v>2.09</v>
      </c>
      <c r="C36" s="3">
        <v>4.2960000000000003</v>
      </c>
      <c r="D36" s="3">
        <v>9.1999999999999993</v>
      </c>
      <c r="E36" s="3">
        <v>0.39600000000000002</v>
      </c>
      <c r="F36" s="3">
        <v>1.387</v>
      </c>
      <c r="G36" s="3">
        <v>3</v>
      </c>
      <c r="H36" s="3">
        <v>0.3</v>
      </c>
      <c r="I36" s="3">
        <v>1.552</v>
      </c>
      <c r="J36" s="3"/>
      <c r="K36" s="3"/>
      <c r="L36" s="3"/>
      <c r="M36" s="3">
        <v>5.0000000000000001E-3</v>
      </c>
      <c r="N36" s="3">
        <v>0.01</v>
      </c>
      <c r="O36" s="3">
        <v>2.1999999999999999E-2</v>
      </c>
      <c r="P36" s="3">
        <v>2E-3</v>
      </c>
      <c r="Q36" s="3">
        <v>2E-3</v>
      </c>
      <c r="R36" s="3">
        <v>2E-3</v>
      </c>
      <c r="S36" s="3">
        <f>+(B36+E36+F36+G36+H36+I36+J36+M36+P36)</f>
        <v>8.7320000000000011</v>
      </c>
      <c r="T36" s="3">
        <f>+(C36+E36+F36+G36+H36+I36+K36+N36+Q36)</f>
        <v>10.943000000000001</v>
      </c>
      <c r="U36" s="3">
        <f>+(D36+E36+F36+G36+H36+I36+L36+O36+R36)</f>
        <v>15.859000000000002</v>
      </c>
    </row>
    <row r="37" spans="1:21" s="4" customFormat="1" ht="15" customHeight="1" x14ac:dyDescent="0.15">
      <c r="A37" s="2" t="s">
        <v>160</v>
      </c>
      <c r="B37" s="3">
        <f>2.09+0.298</f>
        <v>2.3879999999999999</v>
      </c>
      <c r="C37" s="3">
        <f>4.296+0.613</f>
        <v>4.9090000000000007</v>
      </c>
      <c r="D37" s="3">
        <f>9.2+1.312</f>
        <v>10.511999999999999</v>
      </c>
      <c r="E37" s="3"/>
      <c r="F37" s="3"/>
      <c r="G37" s="3">
        <v>3</v>
      </c>
      <c r="H37" s="3">
        <v>0.3</v>
      </c>
      <c r="I37" s="3">
        <v>1.552</v>
      </c>
      <c r="J37" s="3"/>
      <c r="K37" s="3"/>
      <c r="L37" s="3"/>
      <c r="M37" s="3"/>
      <c r="N37" s="3"/>
      <c r="O37" s="3"/>
      <c r="P37" s="3" t="s">
        <v>138</v>
      </c>
      <c r="Q37" s="3"/>
      <c r="R37" s="3"/>
      <c r="S37" s="3">
        <f>+(B37+E37+F37+G37+H37+I37+J37+M37+P37)</f>
        <v>7.24</v>
      </c>
      <c r="T37" s="3">
        <f>+(C37+E37+F37+G37+H37+I37+K37+N37+Q37)</f>
        <v>9.761000000000001</v>
      </c>
      <c r="U37" s="3">
        <f>+(D37+E37+F37+G37+H37+I37+L37+O37+R37)</f>
        <v>15.363999999999999</v>
      </c>
    </row>
    <row r="38" spans="1:21" s="4" customFormat="1" ht="15" customHeight="1" x14ac:dyDescent="0.15">
      <c r="A38" s="2" t="s">
        <v>38</v>
      </c>
      <c r="B38" s="3">
        <v>2.09</v>
      </c>
      <c r="C38" s="3">
        <v>4.2960000000000003</v>
      </c>
      <c r="D38" s="3">
        <v>9.1999999999999993</v>
      </c>
      <c r="E38" s="3"/>
      <c r="F38" s="3"/>
      <c r="G38" s="3">
        <v>2.4359999999999999</v>
      </c>
      <c r="H38" s="3">
        <v>0.3</v>
      </c>
      <c r="I38" s="3">
        <v>1.552</v>
      </c>
      <c r="J38" s="3"/>
      <c r="K38" s="3"/>
      <c r="L38" s="3"/>
      <c r="M38" s="3"/>
      <c r="N38" s="3"/>
      <c r="O38" s="3"/>
      <c r="P38" s="3"/>
      <c r="Q38" s="3"/>
      <c r="R38" s="3"/>
      <c r="S38" s="3">
        <f>+(B38+E38+F38+G38+H38+I38+J38+M38+P38)</f>
        <v>6.3780000000000001</v>
      </c>
      <c r="T38" s="3">
        <f>+(C38+E38+F38+G38+H38+I38+K38+N38+Q38)</f>
        <v>8.5839999999999996</v>
      </c>
      <c r="U38" s="3">
        <f>+(D38+E38+F38+G38+H38+I38+L38+O38+R38)</f>
        <v>13.488</v>
      </c>
    </row>
    <row r="39" spans="1:21" s="4" customFormat="1" ht="15" customHeight="1" x14ac:dyDescent="0.15">
      <c r="A39" s="2" t="s">
        <v>109</v>
      </c>
      <c r="B39" s="3">
        <f>2.09+0.639</f>
        <v>2.7290000000000001</v>
      </c>
      <c r="C39" s="3">
        <f>4.296+1.313</f>
        <v>5.609</v>
      </c>
      <c r="D39" s="3">
        <f>9.2+2.813</f>
        <v>12.013</v>
      </c>
      <c r="E39" s="3"/>
      <c r="F39" s="3"/>
      <c r="G39" s="3">
        <v>1.5</v>
      </c>
      <c r="H39" s="3">
        <v>0.21299999999999999</v>
      </c>
      <c r="I39" s="3">
        <v>1.2</v>
      </c>
      <c r="J39" s="3"/>
      <c r="K39" s="3"/>
      <c r="L39" s="3"/>
      <c r="M39" s="3"/>
      <c r="N39" s="3"/>
      <c r="O39" s="3"/>
      <c r="P39" s="3"/>
      <c r="Q39" s="3"/>
      <c r="R39" s="3"/>
      <c r="S39" s="3">
        <f>+(B39+E39+F39+G39+H39+I39+J39+M39+P39)</f>
        <v>5.6420000000000003</v>
      </c>
      <c r="T39" s="3">
        <f>+(C39+E39+F39+G39+H39+I39+K39+N39+Q39)</f>
        <v>8.5220000000000002</v>
      </c>
      <c r="U39" s="3">
        <f>+(D39+E39+F39+G39+H39+I39+L39+O39+R39)</f>
        <v>14.925999999999998</v>
      </c>
    </row>
    <row r="40" spans="1:21" s="4" customFormat="1" ht="15" customHeight="1" x14ac:dyDescent="0.15">
      <c r="A40" s="2" t="s">
        <v>96</v>
      </c>
      <c r="B40" s="3">
        <v>2.09</v>
      </c>
      <c r="C40" s="3">
        <v>4.2960000000000003</v>
      </c>
      <c r="D40" s="3">
        <v>9.1999999999999993</v>
      </c>
      <c r="E40" s="3"/>
      <c r="F40" s="3"/>
      <c r="G40" s="3">
        <v>3</v>
      </c>
      <c r="H40" s="3">
        <v>0.3</v>
      </c>
      <c r="I40" s="3">
        <v>1.4</v>
      </c>
      <c r="J40" s="3"/>
      <c r="K40" s="3"/>
      <c r="L40" s="3"/>
      <c r="M40" s="3">
        <v>0.27</v>
      </c>
      <c r="N40" s="3">
        <v>0.55500000000000005</v>
      </c>
      <c r="O40" s="3">
        <v>1.1890000000000001</v>
      </c>
      <c r="P40" s="3">
        <v>0.14099999999999999</v>
      </c>
      <c r="Q40" s="3">
        <v>0.14099999999999999</v>
      </c>
      <c r="R40" s="3">
        <v>0.14099999999999999</v>
      </c>
      <c r="S40" s="3">
        <f>+(B40+E40+F40+G40+H40+I40+J40+M40+P40)</f>
        <v>7.2009999999999987</v>
      </c>
      <c r="T40" s="3">
        <f>+(C40+E40+F40+G40+H40+I40+K40+N40+Q40)</f>
        <v>9.6920000000000002</v>
      </c>
      <c r="U40" s="3">
        <f>+(D40+E40+F40+G40+H40+I40+L40+O40+R40)</f>
        <v>15.23</v>
      </c>
    </row>
    <row r="41" spans="1:21" s="4" customFormat="1" ht="15" customHeight="1" x14ac:dyDescent="0.15">
      <c r="A41" s="2" t="s">
        <v>121</v>
      </c>
      <c r="B41" s="3">
        <v>2.09</v>
      </c>
      <c r="C41" s="3">
        <v>4.2960000000000003</v>
      </c>
      <c r="D41" s="3">
        <v>9.1999999999999993</v>
      </c>
      <c r="E41" s="3"/>
      <c r="F41" s="3"/>
      <c r="G41" s="3">
        <v>2.5</v>
      </c>
      <c r="H41" s="3">
        <v>0</v>
      </c>
      <c r="I41" s="3">
        <v>1.4</v>
      </c>
      <c r="J41" s="3"/>
      <c r="K41" s="3"/>
      <c r="L41" s="3"/>
      <c r="M41" s="3">
        <v>6.8000000000000005E-2</v>
      </c>
      <c r="N41" s="3">
        <v>0.14000000000000001</v>
      </c>
      <c r="O41" s="3">
        <v>0.29899999999999999</v>
      </c>
      <c r="P41" s="3">
        <v>3.7999999999999999E-2</v>
      </c>
      <c r="Q41" s="3">
        <v>3.7999999999999999E-2</v>
      </c>
      <c r="R41" s="3">
        <v>3.7999999999999999E-2</v>
      </c>
      <c r="S41" s="3">
        <f>+(B41+E41+F41+G41+H41+I41+J41+M41+P41)</f>
        <v>6.0960000000000001</v>
      </c>
      <c r="T41" s="3">
        <f>+(C41+E41+F41+G41+H41+I41+K41+N41+Q41)</f>
        <v>8.3740000000000006</v>
      </c>
      <c r="U41" s="3">
        <f>+(D41+E41+F41+G41+H41+I41+L41+O41+R41)</f>
        <v>13.436999999999999</v>
      </c>
    </row>
    <row r="42" spans="1:21" s="4" customFormat="1" ht="15" customHeight="1" x14ac:dyDescent="0.15">
      <c r="A42" s="2" t="s">
        <v>39</v>
      </c>
      <c r="B42" s="3">
        <v>2.09</v>
      </c>
      <c r="C42" s="3">
        <v>4.2960000000000003</v>
      </c>
      <c r="D42" s="3">
        <v>9.1999999999999993</v>
      </c>
      <c r="E42" s="3"/>
      <c r="F42" s="3"/>
      <c r="G42" s="3">
        <v>0</v>
      </c>
      <c r="H42" s="3">
        <v>0</v>
      </c>
      <c r="I42" s="3">
        <v>1.552</v>
      </c>
      <c r="J42" s="3"/>
      <c r="K42" s="3"/>
      <c r="L42" s="3"/>
      <c r="M42" s="3"/>
      <c r="N42" s="3"/>
      <c r="O42" s="3"/>
      <c r="P42" s="3"/>
      <c r="Q42" s="3"/>
      <c r="R42" s="3"/>
      <c r="S42" s="3">
        <f>+(B42+E42+F42+G42+H42+I42+J42+M42+P42)</f>
        <v>3.6419999999999999</v>
      </c>
      <c r="T42" s="3">
        <f>+(C42+E42+F42+G42+H42+I42+K42+N42+Q42)</f>
        <v>5.8480000000000008</v>
      </c>
      <c r="U42" s="3">
        <f>+(D42+E42+F42+G42+H42+I42+L42+O42+R42)</f>
        <v>10.751999999999999</v>
      </c>
    </row>
    <row r="43" spans="1:21" s="4" customFormat="1" ht="15" customHeight="1" x14ac:dyDescent="0.15">
      <c r="A43" s="6" t="s">
        <v>46</v>
      </c>
      <c r="B43" s="3">
        <f>2.09+0.47</f>
        <v>2.5599999999999996</v>
      </c>
      <c r="C43" s="3">
        <f>4.296+0.966</f>
        <v>5.2620000000000005</v>
      </c>
      <c r="D43" s="3">
        <f>9.2+2.069</f>
        <v>11.268999999999998</v>
      </c>
      <c r="E43" s="3"/>
      <c r="F43" s="3"/>
      <c r="G43" s="3">
        <v>3</v>
      </c>
      <c r="H43" s="3">
        <v>0.3</v>
      </c>
      <c r="I43" s="3">
        <v>1.552</v>
      </c>
      <c r="J43" s="3"/>
      <c r="K43" s="3"/>
      <c r="L43" s="3"/>
      <c r="M43" s="3">
        <v>3.0000000000000001E-3</v>
      </c>
      <c r="N43" s="3">
        <v>6.0000000000000001E-3</v>
      </c>
      <c r="O43" s="3">
        <v>1.2999999999999999E-2</v>
      </c>
      <c r="P43" s="3">
        <v>2E-3</v>
      </c>
      <c r="Q43" s="3">
        <v>2E-3</v>
      </c>
      <c r="R43" s="3">
        <v>2E-3</v>
      </c>
      <c r="S43" s="3">
        <f>+(B43+E43+F43+G43+H43+I43+J43+M43+P43)</f>
        <v>7.4169999999999989</v>
      </c>
      <c r="T43" s="3">
        <f>+(C43+E43+F43+G43+H43+I43+K43+N43+Q43)</f>
        <v>10.122000000000002</v>
      </c>
      <c r="U43" s="3">
        <f>+(D43+E43+F43+G43+H43+I43+L43+O43+R43)</f>
        <v>16.135999999999999</v>
      </c>
    </row>
    <row r="44" spans="1:21" s="4" customFormat="1" ht="15" customHeight="1" x14ac:dyDescent="0.15">
      <c r="A44" s="2" t="s">
        <v>45</v>
      </c>
      <c r="B44" s="3">
        <v>2.09</v>
      </c>
      <c r="C44" s="3">
        <v>4.2960000000000003</v>
      </c>
      <c r="D44" s="3">
        <v>9.1999999999999993</v>
      </c>
      <c r="E44" s="3"/>
      <c r="F44" s="3"/>
      <c r="G44" s="3">
        <v>0.43</v>
      </c>
      <c r="H44" s="3">
        <v>7.1999999999999995E-2</v>
      </c>
      <c r="I44" s="3">
        <v>0.35799999999999998</v>
      </c>
      <c r="J44" s="3"/>
      <c r="K44" s="3"/>
      <c r="L44" s="3"/>
      <c r="M44" s="3"/>
      <c r="N44" s="3"/>
      <c r="O44" s="3"/>
      <c r="P44" s="3"/>
      <c r="Q44" s="3"/>
      <c r="R44" s="3"/>
      <c r="S44" s="3">
        <f>+(B44+E44+F44+G44+H44+I44+J44+M44+P44)</f>
        <v>2.95</v>
      </c>
      <c r="T44" s="3">
        <f>+(C44+E44+F44+G44+H44+I44+K44+N44+Q44)</f>
        <v>5.1559999999999997</v>
      </c>
      <c r="U44" s="3">
        <f>+(D44+E44+F44+G44+H44+I44+L44+O44+R44)</f>
        <v>10.059999999999999</v>
      </c>
    </row>
    <row r="45" spans="1:21" s="4" customFormat="1" ht="15" customHeight="1" x14ac:dyDescent="0.15">
      <c r="A45" s="2" t="s">
        <v>32</v>
      </c>
      <c r="B45" s="3">
        <f>2.087+0.122</f>
        <v>2.2090000000000001</v>
      </c>
      <c r="C45" s="3">
        <f>4.29+0.251</f>
        <v>4.5410000000000004</v>
      </c>
      <c r="D45" s="3">
        <f>9.187+0.537</f>
        <v>9.7240000000000002</v>
      </c>
      <c r="E45" s="3"/>
      <c r="F45" s="3"/>
      <c r="G45" s="3">
        <v>0.78800000000000003</v>
      </c>
      <c r="H45" s="3">
        <v>0</v>
      </c>
      <c r="I45" s="3">
        <v>0.222</v>
      </c>
      <c r="J45" s="3"/>
      <c r="K45" s="3"/>
      <c r="L45" s="3"/>
      <c r="M45" s="3">
        <v>4.0000000000000001E-3</v>
      </c>
      <c r="N45" s="3">
        <v>8.0000000000000002E-3</v>
      </c>
      <c r="O45" s="3">
        <v>1.7999999999999999E-2</v>
      </c>
      <c r="P45" s="3"/>
      <c r="Q45" s="3"/>
      <c r="R45" s="3"/>
      <c r="S45" s="3">
        <f>+(B45+E45+F45+G45+H45+I45+J45+M45+P45)</f>
        <v>3.2229999999999999</v>
      </c>
      <c r="T45" s="3">
        <f>+(C45+E45+F45+G45+H45+I45+K45+N45+Q45)</f>
        <v>5.5590000000000011</v>
      </c>
      <c r="U45" s="3">
        <f>+(D45+E45+F45+G45+H45+I45+L45+O45+R45)</f>
        <v>10.752000000000001</v>
      </c>
    </row>
    <row r="46" spans="1:21" s="4" customFormat="1" ht="15" customHeight="1" x14ac:dyDescent="0.15">
      <c r="A46" s="2" t="s">
        <v>125</v>
      </c>
      <c r="B46" s="3">
        <v>2.09</v>
      </c>
      <c r="C46" s="3">
        <v>4.2960000000000003</v>
      </c>
      <c r="D46" s="3">
        <v>9.1999999999999993</v>
      </c>
      <c r="E46" s="3">
        <v>1.9059999999999999</v>
      </c>
      <c r="F46" s="3"/>
      <c r="G46" s="3">
        <v>2</v>
      </c>
      <c r="H46" s="3">
        <v>0.3</v>
      </c>
      <c r="I46" s="3">
        <v>1.552</v>
      </c>
      <c r="J46" s="3"/>
      <c r="K46" s="3"/>
      <c r="L46" s="3"/>
      <c r="M46" s="3"/>
      <c r="N46" s="3"/>
      <c r="O46" s="3"/>
      <c r="P46" s="3"/>
      <c r="Q46" s="3"/>
      <c r="R46" s="3"/>
      <c r="S46" s="3">
        <f>+(B46+E46+F46+G46+H46+I46+J46+M46+P46)</f>
        <v>7.847999999999999</v>
      </c>
      <c r="T46" s="3">
        <f>+(C46+E46+F46+G46+H46+I46+K46+N46+Q46)</f>
        <v>10.054</v>
      </c>
      <c r="U46" s="3">
        <f>+(D46+E46+F46+G46+H46+I46+L46+O46+R46)</f>
        <v>14.958</v>
      </c>
    </row>
    <row r="47" spans="1:21" s="4" customFormat="1" ht="15" customHeight="1" x14ac:dyDescent="0.15">
      <c r="A47" s="2" t="s">
        <v>10</v>
      </c>
      <c r="B47" s="3">
        <v>2.09</v>
      </c>
      <c r="C47" s="3">
        <v>4.2960000000000003</v>
      </c>
      <c r="D47" s="3">
        <v>9.1999999999999993</v>
      </c>
      <c r="E47" s="3"/>
      <c r="F47" s="3"/>
      <c r="G47" s="3">
        <v>3</v>
      </c>
      <c r="H47" s="3">
        <v>0.3</v>
      </c>
      <c r="I47" s="3">
        <v>1.552</v>
      </c>
      <c r="J47" s="3"/>
      <c r="K47" s="3"/>
      <c r="L47" s="3"/>
      <c r="M47" s="3">
        <v>4.4999999999999998E-2</v>
      </c>
      <c r="N47" s="3">
        <v>9.1999999999999998E-2</v>
      </c>
      <c r="O47" s="3">
        <v>0.19800000000000001</v>
      </c>
      <c r="P47" s="3">
        <v>1.4999999999999999E-2</v>
      </c>
      <c r="Q47" s="3">
        <v>1.4999999999999999E-2</v>
      </c>
      <c r="R47" s="3">
        <v>1.4999999999999999E-2</v>
      </c>
      <c r="S47" s="3">
        <f>+(B47+E47+F47+G47+H47+I47+J47+M47+P47)</f>
        <v>7.0019999999999998</v>
      </c>
      <c r="T47" s="3">
        <f>+(C47+E47+F47+G47+H47+I47+K47+N47+Q47)</f>
        <v>9.2550000000000008</v>
      </c>
      <c r="U47" s="3">
        <f>+(D47+E47+F47+G47+H47+I47+L47+O47+R47)</f>
        <v>14.265000000000001</v>
      </c>
    </row>
    <row r="48" spans="1:21" s="4" customFormat="1" ht="15" customHeight="1" x14ac:dyDescent="0.15">
      <c r="A48" s="2" t="s">
        <v>56</v>
      </c>
      <c r="B48" s="3">
        <f>2.09+0.323</f>
        <v>2.4129999999999998</v>
      </c>
      <c r="C48" s="3">
        <f>4.296+0.664</f>
        <v>4.96</v>
      </c>
      <c r="D48" s="3">
        <f>9.2+1.422</f>
        <v>10.622</v>
      </c>
      <c r="E48" s="3">
        <v>1.0489999999999999</v>
      </c>
      <c r="F48" s="3"/>
      <c r="G48" s="3">
        <v>1.25</v>
      </c>
      <c r="H48" s="3">
        <v>0.29599999999999999</v>
      </c>
      <c r="I48" s="3">
        <v>1.552</v>
      </c>
      <c r="J48" s="3"/>
      <c r="K48" s="3"/>
      <c r="L48" s="3"/>
      <c r="M48" s="3"/>
      <c r="N48" s="3"/>
      <c r="O48" s="3"/>
      <c r="P48" s="3"/>
      <c r="Q48" s="3"/>
      <c r="R48" s="3"/>
      <c r="S48" s="3">
        <f>+(B48+E48+F48+G48+H48+I48+J48+M48+P48)</f>
        <v>6.5600000000000005</v>
      </c>
      <c r="T48" s="3">
        <f>+(C48+E48+F48+G48+H48+I48+K48+N48+Q48)</f>
        <v>9.1070000000000011</v>
      </c>
      <c r="U48" s="3">
        <f>+(D48+E48+F48+G48+H48+I48+L48+O48+R48)</f>
        <v>14.768999999999998</v>
      </c>
    </row>
    <row r="49" spans="1:21" s="4" customFormat="1" ht="15" customHeight="1" x14ac:dyDescent="0.15">
      <c r="A49" s="2" t="s">
        <v>33</v>
      </c>
      <c r="B49" s="3">
        <v>2.09</v>
      </c>
      <c r="C49" s="3">
        <v>4.2960000000000003</v>
      </c>
      <c r="D49" s="3">
        <v>9.1999999999999993</v>
      </c>
      <c r="E49" s="3">
        <v>1.409</v>
      </c>
      <c r="F49" s="3"/>
      <c r="G49" s="3">
        <v>2.4169999999999998</v>
      </c>
      <c r="H49" s="3">
        <v>0.29499999999999998</v>
      </c>
      <c r="I49" s="3">
        <v>1.552</v>
      </c>
      <c r="J49" s="3"/>
      <c r="K49" s="3"/>
      <c r="L49" s="3"/>
      <c r="M49" s="3">
        <v>2E-3</v>
      </c>
      <c r="N49" s="3">
        <v>4.0000000000000001E-3</v>
      </c>
      <c r="O49" s="3">
        <v>8.9999999999999993E-3</v>
      </c>
      <c r="P49" s="3"/>
      <c r="Q49" s="3"/>
      <c r="R49" s="3"/>
      <c r="S49" s="3">
        <f>+(B49+E49+F49+G49+H49+I49+J49+M49+P49)</f>
        <v>7.7649999999999997</v>
      </c>
      <c r="T49" s="3">
        <f>+(C49+E49+F49+G49+H49+I49+K49+N49+Q49)</f>
        <v>9.972999999999999</v>
      </c>
      <c r="U49" s="3">
        <f>+(D49+E49+F49+G49+H49+I49+L49+O49+R49)</f>
        <v>14.882</v>
      </c>
    </row>
    <row r="50" spans="1:21" s="4" customFormat="1" ht="15" customHeight="1" x14ac:dyDescent="0.15">
      <c r="A50" s="2" t="s">
        <v>82</v>
      </c>
      <c r="B50" s="3">
        <f>2.09+0.574</f>
        <v>2.6639999999999997</v>
      </c>
      <c r="C50" s="3">
        <f>4.296+1.18</f>
        <v>5.476</v>
      </c>
      <c r="D50" s="3">
        <f>9.2+2.527</f>
        <v>11.727</v>
      </c>
      <c r="E50" s="3"/>
      <c r="F50" s="3"/>
      <c r="G50" s="3">
        <v>1.31</v>
      </c>
      <c r="H50" s="3">
        <v>0.14000000000000001</v>
      </c>
      <c r="I50" s="3">
        <v>0.6</v>
      </c>
      <c r="J50" s="3"/>
      <c r="K50" s="3"/>
      <c r="L50" s="3"/>
      <c r="M50" s="3"/>
      <c r="N50" s="3"/>
      <c r="O50" s="3"/>
      <c r="P50" s="3"/>
      <c r="Q50" s="3"/>
      <c r="R50" s="3"/>
      <c r="S50" s="3">
        <f>+(B50+E50+F50+G50+H50+I50+J50+M50+P50)</f>
        <v>4.7139999999999995</v>
      </c>
      <c r="T50" s="3">
        <f>+(C50+E50+F50+G50+H50+I50+K50+N50+Q50)</f>
        <v>7.5259999999999989</v>
      </c>
      <c r="U50" s="3">
        <f>+(D50+E50+F50+G50+H50+I50+L50+O50+R50)</f>
        <v>13.777000000000001</v>
      </c>
    </row>
    <row r="51" spans="1:21" s="4" customFormat="1" ht="15" customHeight="1" x14ac:dyDescent="0.15">
      <c r="A51" s="2" t="s">
        <v>86</v>
      </c>
      <c r="B51" s="3">
        <v>2.09</v>
      </c>
      <c r="C51" s="3">
        <v>4.2960000000000003</v>
      </c>
      <c r="D51" s="3">
        <v>9.1999999999999993</v>
      </c>
      <c r="E51" s="3">
        <v>2.4580000000000002</v>
      </c>
      <c r="F51" s="3"/>
      <c r="G51" s="3">
        <v>3</v>
      </c>
      <c r="H51" s="3">
        <v>0.3</v>
      </c>
      <c r="I51" s="3">
        <v>1.552</v>
      </c>
      <c r="J51" s="3"/>
      <c r="K51" s="3"/>
      <c r="L51" s="3"/>
      <c r="M51" s="3">
        <v>0.01</v>
      </c>
      <c r="N51" s="3">
        <v>2.1000000000000001E-2</v>
      </c>
      <c r="O51" s="3">
        <v>4.3999999999999997E-2</v>
      </c>
      <c r="P51" s="3">
        <v>3.0000000000000001E-3</v>
      </c>
      <c r="Q51" s="3">
        <v>3.0000000000000001E-3</v>
      </c>
      <c r="R51" s="3">
        <v>3.0000000000000001E-3</v>
      </c>
      <c r="S51" s="3">
        <f>+(B51+E51+F51+G51+H51+I51+J51+M51+P51)</f>
        <v>9.4130000000000003</v>
      </c>
      <c r="T51" s="3">
        <f>+(C51+E51+F51+G51+H51+I51+K51+N51+Q51)</f>
        <v>11.630000000000003</v>
      </c>
      <c r="U51" s="3">
        <f>+(D51+E51+F51+G51+H51+I51+L51+O51+R51)</f>
        <v>16.557000000000002</v>
      </c>
    </row>
    <row r="52" spans="1:21" s="4" customFormat="1" ht="15" customHeight="1" x14ac:dyDescent="0.15">
      <c r="A52" s="2" t="s">
        <v>129</v>
      </c>
      <c r="B52" s="3">
        <v>2.09</v>
      </c>
      <c r="C52" s="3">
        <v>4.2960000000000003</v>
      </c>
      <c r="D52" s="3">
        <v>9.1999999999999993</v>
      </c>
      <c r="E52" s="3"/>
      <c r="F52" s="3"/>
      <c r="G52" s="3">
        <v>1.2949999999999999</v>
      </c>
      <c r="H52" s="3">
        <v>0.16700000000000001</v>
      </c>
      <c r="I52" s="3">
        <v>0.40899999999999997</v>
      </c>
      <c r="J52" s="3"/>
      <c r="K52" s="3"/>
      <c r="L52" s="3"/>
      <c r="M52" s="3"/>
      <c r="N52" s="3"/>
      <c r="O52" s="3"/>
      <c r="P52" s="3"/>
      <c r="Q52" s="3"/>
      <c r="R52" s="3"/>
      <c r="S52" s="3">
        <f>+(B52+E52+F52+G52+H52+I52+J52+M52+P52)</f>
        <v>3.9609999999999994</v>
      </c>
      <c r="T52" s="3">
        <f>+(C52+E52+F52+G52+H52+I52+K52+N52+Q52)</f>
        <v>6.1669999999999998</v>
      </c>
      <c r="U52" s="3">
        <f>+(D52+E52+F52+G52+H52+I52+L52+O52+R52)</f>
        <v>11.071</v>
      </c>
    </row>
    <row r="53" spans="1:21" s="4" customFormat="1" ht="15" customHeight="1" x14ac:dyDescent="0.15">
      <c r="A53" s="2" t="s">
        <v>95</v>
      </c>
      <c r="B53" s="3">
        <v>2.09</v>
      </c>
      <c r="C53" s="3">
        <v>4.2960000000000003</v>
      </c>
      <c r="D53" s="3">
        <v>9.1999999999999993</v>
      </c>
      <c r="E53" s="3">
        <v>0.73099999999999998</v>
      </c>
      <c r="F53" s="3"/>
      <c r="G53" s="3">
        <v>2.5449999999999999</v>
      </c>
      <c r="H53" s="3">
        <v>0.29599999999999999</v>
      </c>
      <c r="I53" s="3">
        <v>1.2</v>
      </c>
      <c r="J53" s="3"/>
      <c r="K53" s="3"/>
      <c r="L53" s="3"/>
      <c r="M53" s="3">
        <v>2.1999999999999999E-2</v>
      </c>
      <c r="N53" s="3">
        <v>4.4999999999999998E-2</v>
      </c>
      <c r="O53" s="3">
        <v>9.7000000000000003E-2</v>
      </c>
      <c r="P53" s="3">
        <v>0.01</v>
      </c>
      <c r="Q53" s="3">
        <v>0.01</v>
      </c>
      <c r="R53" s="3">
        <v>0.01</v>
      </c>
      <c r="S53" s="3">
        <f>+(B53+E53+F53+G53+H53+I53+J53+M53+P53)</f>
        <v>6.8940000000000001</v>
      </c>
      <c r="T53" s="3">
        <f>+(C53+E53+F53+G53+H53+I53+K53+N53+Q53)</f>
        <v>9.1229999999999993</v>
      </c>
      <c r="U53" s="3">
        <f>+(D53+E53+F53+G53+H53+I53+L53+O53+R53)</f>
        <v>14.078999999999997</v>
      </c>
    </row>
    <row r="54" spans="1:21" s="4" customFormat="1" ht="15" customHeight="1" x14ac:dyDescent="0.15">
      <c r="A54" s="2" t="s">
        <v>24</v>
      </c>
      <c r="B54" s="3">
        <f>2.09+0.68</f>
        <v>2.77</v>
      </c>
      <c r="C54" s="3">
        <f>4.296+1.398</f>
        <v>5.694</v>
      </c>
      <c r="D54" s="3">
        <f>9.2+2.993</f>
        <v>12.193</v>
      </c>
      <c r="E54" s="3">
        <v>0.90300000000000002</v>
      </c>
      <c r="F54" s="3">
        <v>1.393</v>
      </c>
      <c r="G54" s="3">
        <v>3</v>
      </c>
      <c r="H54" s="3">
        <v>0.3</v>
      </c>
      <c r="I54" s="3">
        <v>1.552</v>
      </c>
      <c r="J54" s="3"/>
      <c r="K54" s="3"/>
      <c r="L54" s="3"/>
      <c r="M54" s="3"/>
      <c r="N54" s="3"/>
      <c r="O54" s="3"/>
      <c r="P54" s="3"/>
      <c r="Q54" s="3"/>
      <c r="R54" s="3"/>
      <c r="S54" s="3">
        <f>+(B54+E54+F54+G54+H54+I54+J54+M54+P54)</f>
        <v>9.9179999999999993</v>
      </c>
      <c r="T54" s="3">
        <f>+(C54+E54+F54+G54+H54+I54+K54+N54+Q54)</f>
        <v>12.841999999999999</v>
      </c>
      <c r="U54" s="3">
        <f>+(D54+E54+F54+G54+H54+I54+L54+O54+R54)</f>
        <v>19.341000000000001</v>
      </c>
    </row>
    <row r="55" spans="1:21" s="4" customFormat="1" ht="15" customHeight="1" x14ac:dyDescent="0.15">
      <c r="A55" s="2" t="s">
        <v>133</v>
      </c>
      <c r="B55" s="3">
        <f>2.09+0.674</f>
        <v>2.7639999999999998</v>
      </c>
      <c r="C55" s="3">
        <f>4.296+1.385</f>
        <v>5.681</v>
      </c>
      <c r="D55" s="3">
        <f>9.2+2.967</f>
        <v>12.167</v>
      </c>
      <c r="E55" s="3"/>
      <c r="F55" s="3"/>
      <c r="G55" s="3">
        <v>2.7679999999999998</v>
      </c>
      <c r="H55" s="3">
        <v>0.27700000000000002</v>
      </c>
      <c r="I55" s="3">
        <v>1.4</v>
      </c>
      <c r="J55" s="3"/>
      <c r="K55" s="3"/>
      <c r="L55" s="3"/>
      <c r="M55" s="3"/>
      <c r="N55" s="3"/>
      <c r="O55" s="3"/>
      <c r="P55" s="3"/>
      <c r="Q55" s="3"/>
      <c r="R55" s="3"/>
      <c r="S55" s="3">
        <f>+(B55+E55+F55+G55+H55+I55+J55+M55+P55)</f>
        <v>7.2089999999999996</v>
      </c>
      <c r="T55" s="3">
        <f>+(C55+E55+F55+G55+H55+I55+K55+N55+Q55)</f>
        <v>10.125999999999999</v>
      </c>
      <c r="U55" s="3">
        <f>+(D55+E55+F55+G55+H55+I55+L55+O55+R55)</f>
        <v>16.611999999999998</v>
      </c>
    </row>
    <row r="56" spans="1:21" s="4" customFormat="1" ht="15" customHeight="1" x14ac:dyDescent="0.15">
      <c r="A56" s="2" t="s">
        <v>61</v>
      </c>
      <c r="B56" s="3">
        <f>2.09+0.544</f>
        <v>2.6339999999999999</v>
      </c>
      <c r="C56" s="3">
        <f>4.296+1.118</f>
        <v>5.4140000000000006</v>
      </c>
      <c r="D56" s="3">
        <f>9.2+2.395</f>
        <v>11.594999999999999</v>
      </c>
      <c r="E56" s="3">
        <v>0.92300000000000004</v>
      </c>
      <c r="F56" s="3"/>
      <c r="G56" s="3">
        <v>2.4140000000000001</v>
      </c>
      <c r="H56" s="3">
        <v>0.29499999999999998</v>
      </c>
      <c r="I56" s="3">
        <v>1.552</v>
      </c>
      <c r="J56" s="3"/>
      <c r="K56" s="3"/>
      <c r="L56" s="3"/>
      <c r="M56" s="3"/>
      <c r="N56" s="3"/>
      <c r="O56" s="3"/>
      <c r="P56" s="3"/>
      <c r="Q56" s="3"/>
      <c r="R56" s="3"/>
      <c r="S56" s="3">
        <f>+(B56+E56+F56+G56+H56+I56+J56+M56+P56)</f>
        <v>7.8179999999999996</v>
      </c>
      <c r="T56" s="3">
        <f>+(C56+E56+F56+G56+H56+I56+K56+N56+Q56)</f>
        <v>10.598000000000001</v>
      </c>
      <c r="U56" s="3">
        <f>+(D56+E56+F56+G56+H56+I56+L56+O56+R56)</f>
        <v>16.779</v>
      </c>
    </row>
    <row r="57" spans="1:21" s="4" customFormat="1" ht="15" customHeight="1" x14ac:dyDescent="0.15">
      <c r="A57" s="2" t="s">
        <v>92</v>
      </c>
      <c r="B57" s="3">
        <v>2.09</v>
      </c>
      <c r="C57" s="3">
        <v>4.2960000000000003</v>
      </c>
      <c r="D57" s="3">
        <v>9.1999999999999993</v>
      </c>
      <c r="E57" s="3">
        <v>1.339</v>
      </c>
      <c r="F57" s="3"/>
      <c r="G57" s="3">
        <v>3</v>
      </c>
      <c r="H57" s="3">
        <v>0.3</v>
      </c>
      <c r="I57" s="3">
        <v>1.552</v>
      </c>
      <c r="J57" s="3"/>
      <c r="K57" s="3"/>
      <c r="L57" s="3"/>
      <c r="M57" s="3">
        <v>5.0000000000000001E-3</v>
      </c>
      <c r="N57" s="3">
        <v>0.01</v>
      </c>
      <c r="O57" s="3">
        <v>2.1999999999999999E-2</v>
      </c>
      <c r="P57" s="3">
        <v>2E-3</v>
      </c>
      <c r="Q57" s="3">
        <v>2E-3</v>
      </c>
      <c r="R57" s="3">
        <v>2E-3</v>
      </c>
      <c r="S57" s="3">
        <f>+(B57+E57+F57+G57+H57+I57+J57+M57+P57)</f>
        <v>8.288000000000002</v>
      </c>
      <c r="T57" s="3">
        <f>+(C57+E57+F57+G57+H57+I57+K57+N57+Q57)</f>
        <v>10.499000000000001</v>
      </c>
      <c r="U57" s="3">
        <f>+(D57+E57+F57+G57+H57+I57+L57+O57+R57)</f>
        <v>15.415000000000001</v>
      </c>
    </row>
    <row r="58" spans="1:21" s="4" customFormat="1" ht="15" customHeight="1" x14ac:dyDescent="0.15">
      <c r="A58" s="2" t="s">
        <v>119</v>
      </c>
      <c r="B58" s="3">
        <v>2.09</v>
      </c>
      <c r="C58" s="3">
        <v>4.2960000000000003</v>
      </c>
      <c r="D58" s="3">
        <v>9.1999999999999993</v>
      </c>
      <c r="E58" s="3">
        <v>2.0979999999999999</v>
      </c>
      <c r="F58" s="3"/>
      <c r="G58" s="3">
        <v>2.9340000000000002</v>
      </c>
      <c r="H58" s="3">
        <v>0.29299999999999998</v>
      </c>
      <c r="I58" s="3">
        <v>1.552</v>
      </c>
      <c r="J58" s="3"/>
      <c r="K58" s="3"/>
      <c r="L58" s="3"/>
      <c r="M58" s="3">
        <v>1E-3</v>
      </c>
      <c r="N58" s="3">
        <v>2E-3</v>
      </c>
      <c r="O58" s="3">
        <v>4.0000000000000001E-3</v>
      </c>
      <c r="P58" s="3"/>
      <c r="Q58" s="3"/>
      <c r="R58" s="3"/>
      <c r="S58" s="3">
        <f>+(B58+E58+F58+G58+H58+I58+J58+M58+P58)</f>
        <v>8.968</v>
      </c>
      <c r="T58" s="3">
        <f>+(C58+E58+F58+G58+H58+I58+K58+N58+Q58)</f>
        <v>11.174999999999999</v>
      </c>
      <c r="U58" s="3">
        <f>+(D58+E58+F58+G58+H58+I58+L58+O58+R58)</f>
        <v>16.081</v>
      </c>
    </row>
    <row r="59" spans="1:21" s="4" customFormat="1" ht="15" customHeight="1" x14ac:dyDescent="0.15">
      <c r="A59" s="2" t="s">
        <v>102</v>
      </c>
      <c r="B59" s="3">
        <f>2.09+0.179</f>
        <v>2.2689999999999997</v>
      </c>
      <c r="C59" s="3">
        <f>4.296+0.368</f>
        <v>4.6640000000000006</v>
      </c>
      <c r="D59" s="3">
        <f>9.2+0.788</f>
        <v>9.9879999999999995</v>
      </c>
      <c r="E59" s="3">
        <v>2.427</v>
      </c>
      <c r="F59" s="3"/>
      <c r="G59" s="3">
        <v>2.282</v>
      </c>
      <c r="H59" s="3">
        <v>0.27700000000000002</v>
      </c>
      <c r="I59" s="3">
        <v>1.552</v>
      </c>
      <c r="J59" s="3"/>
      <c r="K59" s="3"/>
      <c r="L59" s="3"/>
      <c r="M59" s="3"/>
      <c r="N59" s="3"/>
      <c r="O59" s="3"/>
      <c r="P59" s="3"/>
      <c r="Q59" s="3"/>
      <c r="R59" s="3"/>
      <c r="S59" s="3">
        <f>+(B59+E59+F59+G59+H59+I59+J59+M59+P59)</f>
        <v>8.8070000000000004</v>
      </c>
      <c r="T59" s="3">
        <f>+(C59+E59+F59+G59+H59+I59+K59+N59+Q59)</f>
        <v>11.202</v>
      </c>
      <c r="U59" s="3">
        <f>+(D59+E59+F59+G59+H59+I59+L59+O59+R59)</f>
        <v>16.526</v>
      </c>
    </row>
    <row r="60" spans="1:21" s="4" customFormat="1" ht="15" customHeight="1" x14ac:dyDescent="0.15">
      <c r="A60" s="2" t="s">
        <v>50</v>
      </c>
      <c r="B60" s="3">
        <f>2.09+0.862</f>
        <v>2.952</v>
      </c>
      <c r="C60" s="3">
        <f>4.296+1.772</f>
        <v>6.0680000000000005</v>
      </c>
      <c r="D60" s="3">
        <f>9.2+3.794</f>
        <v>12.994</v>
      </c>
      <c r="E60" s="3"/>
      <c r="F60" s="3"/>
      <c r="G60" s="3">
        <v>2.8809999999999998</v>
      </c>
      <c r="H60" s="3">
        <v>0.28799999999999998</v>
      </c>
      <c r="I60" s="3">
        <v>1.552</v>
      </c>
      <c r="J60" s="3"/>
      <c r="K60" s="3"/>
      <c r="L60" s="3"/>
      <c r="M60" s="3"/>
      <c r="N60" s="3"/>
      <c r="O60" s="3"/>
      <c r="P60" s="3"/>
      <c r="Q60" s="3"/>
      <c r="R60" s="3"/>
      <c r="S60" s="3">
        <f>+(B60+E60+F60+G60+H60+I60+J60+M60+P60)</f>
        <v>7.673</v>
      </c>
      <c r="T60" s="3">
        <f>+(C60+E60+F60+G60+H60+I60+K60+N60+Q60)</f>
        <v>10.789</v>
      </c>
      <c r="U60" s="3">
        <f>+(D60+E60+F60+G60+H60+I60+L60+O60+R60)</f>
        <v>17.715</v>
      </c>
    </row>
    <row r="61" spans="1:21" s="4" customFormat="1" ht="15" customHeight="1" x14ac:dyDescent="0.15">
      <c r="A61" s="2" t="s">
        <v>53</v>
      </c>
      <c r="B61" s="3">
        <v>2.09</v>
      </c>
      <c r="C61" s="3">
        <v>4.2960000000000003</v>
      </c>
      <c r="D61" s="3">
        <v>9.1999999999999993</v>
      </c>
      <c r="E61" s="3"/>
      <c r="F61" s="3"/>
      <c r="G61" s="3">
        <v>3</v>
      </c>
      <c r="H61" s="3">
        <v>0.3</v>
      </c>
      <c r="I61" s="3">
        <v>1.552</v>
      </c>
      <c r="J61" s="3"/>
      <c r="K61" s="3"/>
      <c r="L61" s="3"/>
      <c r="M61" s="3">
        <v>2E-3</v>
      </c>
      <c r="N61" s="3">
        <v>4.0000000000000001E-3</v>
      </c>
      <c r="O61" s="3">
        <v>8.9999999999999993E-3</v>
      </c>
      <c r="P61" s="3">
        <v>1E-3</v>
      </c>
      <c r="Q61" s="3">
        <v>1E-3</v>
      </c>
      <c r="R61" s="3">
        <v>1E-3</v>
      </c>
      <c r="S61" s="3">
        <f>+(B61+E61+F61+G61+H61+I61+J61+M61+P61)</f>
        <v>6.9450000000000003</v>
      </c>
      <c r="T61" s="3">
        <f>+(C61+E61+F61+G61+H61+I61+K61+N61+Q61)</f>
        <v>9.1529999999999987</v>
      </c>
      <c r="U61" s="3">
        <f>+(D61+E61+F61+G61+H61+I61+L61+O61+R61)</f>
        <v>14.061999999999999</v>
      </c>
    </row>
    <row r="62" spans="1:21" s="4" customFormat="1" ht="15" customHeight="1" x14ac:dyDescent="0.15">
      <c r="A62" s="2" t="s">
        <v>128</v>
      </c>
      <c r="B62" s="3">
        <v>2.09</v>
      </c>
      <c r="C62" s="3">
        <v>4.2960000000000003</v>
      </c>
      <c r="D62" s="3">
        <v>9.1999999999999993</v>
      </c>
      <c r="E62" s="3">
        <v>0.39</v>
      </c>
      <c r="F62" s="3"/>
      <c r="G62" s="3">
        <v>1.361</v>
      </c>
      <c r="H62" s="3">
        <v>0.25900000000000001</v>
      </c>
      <c r="I62" s="3">
        <v>0.752</v>
      </c>
      <c r="J62" s="3"/>
      <c r="K62" s="3"/>
      <c r="L62" s="3"/>
      <c r="M62" s="3"/>
      <c r="N62" s="3"/>
      <c r="O62" s="3"/>
      <c r="P62" s="3"/>
      <c r="Q62" s="3"/>
      <c r="R62" s="3"/>
      <c r="S62" s="3">
        <f>+(B62+E62+F62+G62+H62+I62+J62+M62+P62)</f>
        <v>4.8520000000000003</v>
      </c>
      <c r="T62" s="3">
        <f>+(C62+E62+F62+G62+H62+I62+K62+N62+Q62)</f>
        <v>7.0579999999999998</v>
      </c>
      <c r="U62" s="3">
        <f>+(D62+E62+F62+G62+H62+I62+L62+O62+R62)</f>
        <v>11.962000000000002</v>
      </c>
    </row>
    <row r="63" spans="1:21" s="4" customFormat="1" ht="15" customHeight="1" x14ac:dyDescent="0.15">
      <c r="A63" s="2" t="s">
        <v>54</v>
      </c>
      <c r="B63" s="3">
        <v>2.09</v>
      </c>
      <c r="C63" s="3">
        <v>4.2960000000000003</v>
      </c>
      <c r="D63" s="3">
        <v>9.1999999999999993</v>
      </c>
      <c r="E63" s="3"/>
      <c r="F63" s="3"/>
      <c r="G63" s="3">
        <v>1.31</v>
      </c>
      <c r="H63" s="3">
        <v>0.29299999999999998</v>
      </c>
      <c r="I63" s="3">
        <v>0.873</v>
      </c>
      <c r="J63" s="3"/>
      <c r="K63" s="3"/>
      <c r="L63" s="3"/>
      <c r="M63" s="3"/>
      <c r="N63" s="3"/>
      <c r="O63" s="3"/>
      <c r="P63" s="3"/>
      <c r="Q63" s="3"/>
      <c r="R63" s="3"/>
      <c r="S63" s="3">
        <f>+(B63+E63+F63+G63+H63+I63+J63+M63+P63)</f>
        <v>4.5659999999999998</v>
      </c>
      <c r="T63" s="3">
        <f>+(C63+E63+F63+G63+H63+I63+K63+N63+Q63)</f>
        <v>6.7720000000000002</v>
      </c>
      <c r="U63" s="3">
        <f>+(D63+E63+F63+G63+H63+I63+L63+O63+R63)</f>
        <v>11.675999999999998</v>
      </c>
    </row>
    <row r="64" spans="1:21" s="4" customFormat="1" ht="15" customHeight="1" x14ac:dyDescent="0.15">
      <c r="A64" s="2" t="s">
        <v>57</v>
      </c>
      <c r="B64" s="3">
        <v>2.09</v>
      </c>
      <c r="C64" s="3">
        <v>4.2960000000000003</v>
      </c>
      <c r="D64" s="3">
        <v>9.1999999999999993</v>
      </c>
      <c r="E64" s="3">
        <v>0.96199999999999997</v>
      </c>
      <c r="F64" s="3"/>
      <c r="G64" s="3">
        <v>2.8239999999999998</v>
      </c>
      <c r="H64" s="3">
        <v>0.28199999999999997</v>
      </c>
      <c r="I64" s="3">
        <v>1.552</v>
      </c>
      <c r="J64" s="3"/>
      <c r="K64" s="3"/>
      <c r="L64" s="3"/>
      <c r="M64" s="3">
        <v>1.2E-2</v>
      </c>
      <c r="N64" s="3">
        <v>2.5000000000000001E-2</v>
      </c>
      <c r="O64" s="3">
        <v>5.2999999999999999E-2</v>
      </c>
      <c r="P64" s="3">
        <v>3.0000000000000001E-3</v>
      </c>
      <c r="Q64" s="3">
        <v>3.0000000000000001E-3</v>
      </c>
      <c r="R64" s="3">
        <v>3.0000000000000001E-3</v>
      </c>
      <c r="S64" s="3">
        <f>+(B64+E64+F64+G64+H64+I64+J64+M64+P64)</f>
        <v>7.7249999999999988</v>
      </c>
      <c r="T64" s="3">
        <f>+(C64+E64+F64+G64+H64+I64+K64+N64+Q64)</f>
        <v>9.9440000000000008</v>
      </c>
      <c r="U64" s="3">
        <f>+(D64+E64+F64+G64+H64+I64+L64+O64+R64)</f>
        <v>14.875999999999999</v>
      </c>
    </row>
    <row r="65" spans="1:21" s="4" customFormat="1" ht="15" customHeight="1" x14ac:dyDescent="0.15">
      <c r="A65" s="2" t="s">
        <v>58</v>
      </c>
      <c r="B65" s="3">
        <v>2.09</v>
      </c>
      <c r="C65" s="3">
        <v>4.2960000000000003</v>
      </c>
      <c r="D65" s="3">
        <v>9.1999999999999993</v>
      </c>
      <c r="E65" s="3"/>
      <c r="F65" s="3"/>
      <c r="G65" s="3">
        <v>2.89</v>
      </c>
      <c r="H65" s="3">
        <v>0.28899999999999998</v>
      </c>
      <c r="I65" s="3">
        <v>1.552</v>
      </c>
      <c r="J65" s="3"/>
      <c r="K65" s="3"/>
      <c r="L65" s="3"/>
      <c r="M65" s="3">
        <v>3.0000000000000001E-3</v>
      </c>
      <c r="N65" s="3">
        <v>6.0000000000000001E-3</v>
      </c>
      <c r="O65" s="3">
        <v>1.2999999999999999E-2</v>
      </c>
      <c r="P65" s="3">
        <v>2E-3</v>
      </c>
      <c r="Q65" s="3">
        <v>2E-3</v>
      </c>
      <c r="R65" s="3">
        <v>2E-3</v>
      </c>
      <c r="S65" s="3">
        <f>+(B65+E65+F65+G65+H65+I65+J65+M65+P65)</f>
        <v>6.8259999999999996</v>
      </c>
      <c r="T65" s="3">
        <f>+(C65+E65+F65+G65+H65+I65+K65+N65+Q65)</f>
        <v>9.0350000000000001</v>
      </c>
      <c r="U65" s="3">
        <f>+(D65+E65+F65+G65+H65+I65+L65+O65+R65)</f>
        <v>13.946</v>
      </c>
    </row>
    <row r="66" spans="1:21" s="4" customFormat="1" ht="15" customHeight="1" x14ac:dyDescent="0.15">
      <c r="A66" s="2" t="s">
        <v>59</v>
      </c>
      <c r="B66" s="3">
        <v>2.09</v>
      </c>
      <c r="C66" s="3">
        <v>4.2960000000000003</v>
      </c>
      <c r="D66" s="3">
        <v>9.1999999999999993</v>
      </c>
      <c r="E66" s="3">
        <v>1.25</v>
      </c>
      <c r="F66" s="3"/>
      <c r="G66" s="3">
        <v>3</v>
      </c>
      <c r="H66" s="3">
        <v>0.3</v>
      </c>
      <c r="I66" s="3">
        <v>0.8</v>
      </c>
      <c r="J66" s="3"/>
      <c r="K66" s="3"/>
      <c r="L66" s="3"/>
      <c r="M66" s="3"/>
      <c r="N66" s="3"/>
      <c r="O66" s="3"/>
      <c r="P66" s="3"/>
      <c r="Q66" s="3"/>
      <c r="R66" s="3"/>
      <c r="S66" s="3">
        <f>+(B66+E66+F66+G66+H66+I66+J66+M66+P66)</f>
        <v>7.4399999999999995</v>
      </c>
      <c r="T66" s="3">
        <f>+(C66+E66+F66+G66+H66+I66+K66+N66+Q66)</f>
        <v>9.6460000000000008</v>
      </c>
      <c r="U66" s="3">
        <f>+(D66+E66+F66+G66+H66+I66+L66+O66+R66)</f>
        <v>14.55</v>
      </c>
    </row>
    <row r="67" spans="1:21" s="4" customFormat="1" ht="15" customHeight="1" x14ac:dyDescent="0.15">
      <c r="A67" s="2" t="s">
        <v>76</v>
      </c>
      <c r="B67" s="3">
        <f>2.09+0.324</f>
        <v>2.4139999999999997</v>
      </c>
      <c r="C67" s="3">
        <f>4.296+0.666</f>
        <v>4.9620000000000006</v>
      </c>
      <c r="D67" s="3">
        <f>9.2+1.426</f>
        <v>10.625999999999999</v>
      </c>
      <c r="E67" s="3">
        <f>0.407+0.464+0.997</f>
        <v>1.8679999999999999</v>
      </c>
      <c r="F67" s="3">
        <f>0.165+0.172+0.859</f>
        <v>1.196</v>
      </c>
      <c r="G67" s="3">
        <v>2.6</v>
      </c>
      <c r="H67" s="3">
        <v>0.3</v>
      </c>
      <c r="I67" s="3">
        <v>1</v>
      </c>
      <c r="J67" s="3"/>
      <c r="K67" s="3"/>
      <c r="L67" s="3"/>
      <c r="M67" s="3"/>
      <c r="N67" s="3"/>
      <c r="O67" s="3"/>
      <c r="P67" s="3"/>
      <c r="Q67" s="3"/>
      <c r="R67" s="3"/>
      <c r="S67" s="3">
        <f>+(B67+E67+F67+G67+H67+I67+J67+M67+P67)</f>
        <v>9.3780000000000001</v>
      </c>
      <c r="T67" s="3">
        <f>+(C67+E67+F67+G67+H67+I67+K67+N67+Q67)</f>
        <v>11.926</v>
      </c>
      <c r="U67" s="3">
        <f>+(D67+E67+F67+G67+H67+I67+L67+O67+R67)</f>
        <v>17.59</v>
      </c>
    </row>
    <row r="68" spans="1:21" s="4" customFormat="1" ht="15" customHeight="1" x14ac:dyDescent="0.15">
      <c r="A68" s="2" t="s">
        <v>25</v>
      </c>
      <c r="B68" s="3">
        <v>2.09</v>
      </c>
      <c r="C68" s="3">
        <v>4.2960000000000003</v>
      </c>
      <c r="D68" s="3">
        <v>9.1999999999999993</v>
      </c>
      <c r="E68" s="3"/>
      <c r="F68" s="3"/>
      <c r="G68" s="3">
        <v>3</v>
      </c>
      <c r="H68" s="3">
        <v>0.3</v>
      </c>
      <c r="I68" s="3">
        <v>1.4</v>
      </c>
      <c r="J68" s="3"/>
      <c r="K68" s="3"/>
      <c r="L68" s="3"/>
      <c r="M68" s="3"/>
      <c r="N68" s="3"/>
      <c r="O68" s="3"/>
      <c r="P68" s="3"/>
      <c r="Q68" s="3"/>
      <c r="R68" s="3"/>
      <c r="S68" s="3">
        <f>+(B68+E68+F68+G68+H68+I68+J68+M68+P68)</f>
        <v>6.7899999999999991</v>
      </c>
      <c r="T68" s="3">
        <f>+(C68+E68+F68+G68+H68+I68+K68+N68+Q68)</f>
        <v>8.9960000000000004</v>
      </c>
      <c r="U68" s="3">
        <f>+(D68+E68+F68+G68+H68+I68+L68+O68+R68)</f>
        <v>13.9</v>
      </c>
    </row>
    <row r="69" spans="1:21" s="4" customFormat="1" ht="15" customHeight="1" x14ac:dyDescent="0.15">
      <c r="A69" s="2" t="s">
        <v>18</v>
      </c>
      <c r="B69" s="3">
        <f>2.09+1.227</f>
        <v>3.3170000000000002</v>
      </c>
      <c r="C69" s="3">
        <f>4.296+2.522</f>
        <v>6.8179999999999996</v>
      </c>
      <c r="D69" s="3">
        <f>9.2+5.401</f>
        <v>14.600999999999999</v>
      </c>
      <c r="E69" s="3"/>
      <c r="F69" s="3"/>
      <c r="G69" s="3">
        <v>0.75</v>
      </c>
      <c r="H69" s="3">
        <v>0</v>
      </c>
      <c r="I69" s="3">
        <v>1.552</v>
      </c>
      <c r="J69" s="3"/>
      <c r="K69" s="3"/>
      <c r="L69" s="3"/>
      <c r="M69" s="3"/>
      <c r="N69" s="3"/>
      <c r="O69" s="3"/>
      <c r="P69" s="3"/>
      <c r="Q69" s="3"/>
      <c r="R69" s="3"/>
      <c r="S69" s="3">
        <f>+(B69+E69+F69+G69+H69+I69+J69+M69+P69)</f>
        <v>5.6189999999999998</v>
      </c>
      <c r="T69" s="3">
        <f>+(C69+E69+F69+G69+H69+I69+K69+N69+Q69)</f>
        <v>9.1199999999999992</v>
      </c>
      <c r="U69" s="3">
        <f>+(D69+E69+F69+G69+H69+I69+L69+O69+R69)</f>
        <v>16.902999999999999</v>
      </c>
    </row>
    <row r="70" spans="1:21" s="4" customFormat="1" ht="15" customHeight="1" x14ac:dyDescent="0.15">
      <c r="A70" s="2" t="s">
        <v>167</v>
      </c>
      <c r="B70" s="3">
        <v>2.09</v>
      </c>
      <c r="C70" s="3">
        <v>4.2960000000000003</v>
      </c>
      <c r="D70" s="3">
        <v>9.1999999999999993</v>
      </c>
      <c r="E70" s="3"/>
      <c r="F70" s="3"/>
      <c r="G70" s="3">
        <v>2.3780000000000001</v>
      </c>
      <c r="H70" s="3">
        <v>0</v>
      </c>
      <c r="I70" s="3">
        <v>0.5</v>
      </c>
      <c r="J70" s="3"/>
      <c r="K70" s="3"/>
      <c r="L70" s="3"/>
      <c r="M70" s="3"/>
      <c r="N70" s="3"/>
      <c r="O70" s="3"/>
      <c r="P70" s="3"/>
      <c r="Q70" s="3"/>
      <c r="R70" s="3"/>
      <c r="S70" s="3">
        <f>+(B70+E70+F70+G70+H70+I70+J70+M70+P70)</f>
        <v>4.968</v>
      </c>
      <c r="T70" s="3">
        <f>+(C70+E70+F70+G70+H70+I70+K70+N70+Q70)</f>
        <v>7.1740000000000004</v>
      </c>
      <c r="U70" s="3">
        <f>+(D70+E70+F70+G70+H70+I70+L70+O70+R70)</f>
        <v>12.077999999999999</v>
      </c>
    </row>
    <row r="71" spans="1:21" s="4" customFormat="1" ht="15" customHeight="1" x14ac:dyDescent="0.15">
      <c r="A71" s="2" t="s">
        <v>97</v>
      </c>
      <c r="B71" s="3">
        <v>2.09</v>
      </c>
      <c r="C71" s="3">
        <v>4.2960000000000003</v>
      </c>
      <c r="D71" s="3">
        <v>9.1999999999999993</v>
      </c>
      <c r="E71" s="3"/>
      <c r="F71" s="3"/>
      <c r="G71" s="3">
        <v>2.383</v>
      </c>
      <c r="H71" s="3">
        <v>0.3</v>
      </c>
      <c r="I71" s="3">
        <v>1.552</v>
      </c>
      <c r="J71" s="3"/>
      <c r="K71" s="3"/>
      <c r="L71" s="3"/>
      <c r="M71" s="3">
        <v>2E-3</v>
      </c>
      <c r="N71" s="3">
        <v>4.0000000000000001E-3</v>
      </c>
      <c r="O71" s="3">
        <v>8.9999999999999993E-3</v>
      </c>
      <c r="P71" s="3">
        <v>2E-3</v>
      </c>
      <c r="Q71" s="3">
        <v>2E-3</v>
      </c>
      <c r="R71" s="3">
        <v>2E-3</v>
      </c>
      <c r="S71" s="3">
        <f>+(B71+E71+F71+G71+H71+I71+J71+M71+P71)</f>
        <v>6.3289999999999988</v>
      </c>
      <c r="T71" s="3">
        <f>+(C71+E71+F71+G71+H71+I71+K71+N71+Q71)</f>
        <v>8.5370000000000008</v>
      </c>
      <c r="U71" s="3">
        <f>+(D71+E71+F71+G71+H71+I71+L71+O71+R71)</f>
        <v>13.446</v>
      </c>
    </row>
    <row r="72" spans="1:21" s="4" customFormat="1" ht="15" customHeight="1" x14ac:dyDescent="0.15">
      <c r="A72" s="2" t="s">
        <v>169</v>
      </c>
      <c r="B72" s="3">
        <f>2.09+0.657</f>
        <v>2.7469999999999999</v>
      </c>
      <c r="C72" s="3">
        <f>4.296+1.35</f>
        <v>5.6460000000000008</v>
      </c>
      <c r="D72" s="3">
        <f>9.2+2.892</f>
        <v>12.091999999999999</v>
      </c>
      <c r="E72" s="3"/>
      <c r="F72" s="3"/>
      <c r="G72" s="3">
        <v>0.45</v>
      </c>
      <c r="H72" s="3">
        <v>0.12</v>
      </c>
      <c r="I72" s="3">
        <v>0.65</v>
      </c>
      <c r="J72" s="3"/>
      <c r="K72" s="3"/>
      <c r="L72" s="3"/>
      <c r="M72" s="3"/>
      <c r="N72" s="3"/>
      <c r="O72" s="3"/>
      <c r="P72" s="3"/>
      <c r="Q72" s="3"/>
      <c r="R72" s="3"/>
      <c r="S72" s="3">
        <f>+(B72+E72+F72+G72+H72+I72+J72+M72+P72)</f>
        <v>3.9670000000000001</v>
      </c>
      <c r="T72" s="3">
        <f>+(C72+E72+F72+G72+H72+I72+K72+N72+Q72)</f>
        <v>6.8660000000000014</v>
      </c>
      <c r="U72" s="3">
        <f>+(D72+E72+F72+G72+H72+I72+L72+O72+R72)</f>
        <v>13.311999999999998</v>
      </c>
    </row>
    <row r="73" spans="1:21" s="4" customFormat="1" ht="15" customHeight="1" x14ac:dyDescent="0.15">
      <c r="A73" s="6" t="s">
        <v>47</v>
      </c>
      <c r="B73" s="3">
        <v>2.09</v>
      </c>
      <c r="C73" s="3">
        <v>4.2960000000000003</v>
      </c>
      <c r="D73" s="3">
        <v>9.1999999999999993</v>
      </c>
      <c r="E73" s="3"/>
      <c r="F73" s="3"/>
      <c r="G73" s="3">
        <v>3</v>
      </c>
      <c r="H73" s="3">
        <v>0.3</v>
      </c>
      <c r="I73" s="3">
        <v>1.552</v>
      </c>
      <c r="J73" s="3"/>
      <c r="K73" s="3"/>
      <c r="L73" s="3"/>
      <c r="M73" s="3">
        <v>8.0000000000000002E-3</v>
      </c>
      <c r="N73" s="3">
        <v>1.6E-2</v>
      </c>
      <c r="O73" s="3">
        <v>3.5000000000000003E-2</v>
      </c>
      <c r="P73" s="3">
        <v>4.0000000000000001E-3</v>
      </c>
      <c r="Q73" s="3">
        <v>4.0000000000000001E-3</v>
      </c>
      <c r="R73" s="3">
        <v>4.0000000000000001E-3</v>
      </c>
      <c r="S73" s="3">
        <f>+(B73+E73+F73+G73+H73+I73+J73+M73+P73)</f>
        <v>6.9539999999999997</v>
      </c>
      <c r="T73" s="3">
        <f>+(C73+E73+F73+G73+H73+I73+K73+N73+Q73)</f>
        <v>9.1679999999999993</v>
      </c>
      <c r="U73" s="3">
        <f>+(D73+E73+F73+G73+H73+I73+L73+O73+R73)</f>
        <v>14.090999999999999</v>
      </c>
    </row>
    <row r="74" spans="1:21" s="4" customFormat="1" ht="15" customHeight="1" x14ac:dyDescent="0.15">
      <c r="A74" s="2" t="s">
        <v>103</v>
      </c>
      <c r="B74" s="3">
        <f>2.09+0.456</f>
        <v>2.5459999999999998</v>
      </c>
      <c r="C74" s="3">
        <f>4.296+0.937</f>
        <v>5.2330000000000005</v>
      </c>
      <c r="D74" s="3">
        <f>9.2+2.007</f>
        <v>11.206999999999999</v>
      </c>
      <c r="E74" s="3"/>
      <c r="F74" s="3"/>
      <c r="G74" s="3">
        <v>0.23</v>
      </c>
      <c r="H74" s="3">
        <v>0.15</v>
      </c>
      <c r="I74" s="3">
        <v>0.44</v>
      </c>
      <c r="J74" s="3"/>
      <c r="K74" s="3"/>
      <c r="L74" s="3"/>
      <c r="M74" s="3"/>
      <c r="N74" s="3"/>
      <c r="O74" s="3"/>
      <c r="P74" s="3"/>
      <c r="Q74" s="3"/>
      <c r="R74" s="3"/>
      <c r="S74" s="3">
        <f>+(B74+E74+F74+G74+H74+I74+J74+M74+P74)</f>
        <v>3.3659999999999997</v>
      </c>
      <c r="T74" s="3">
        <f>+(C74+E74+F74+G74+H74+I74+K74+N74+Q74)</f>
        <v>6.0530000000000017</v>
      </c>
      <c r="U74" s="3">
        <f>+(D74+E74+F74+G74+H74+I74+L74+O74+R74)</f>
        <v>12.026999999999999</v>
      </c>
    </row>
    <row r="75" spans="1:21" s="4" customFormat="1" ht="15" customHeight="1" x14ac:dyDescent="0.15">
      <c r="A75" s="2" t="s">
        <v>88</v>
      </c>
      <c r="B75" s="3">
        <v>2.09</v>
      </c>
      <c r="C75" s="3">
        <v>4.2960000000000003</v>
      </c>
      <c r="D75" s="3">
        <v>9.1999999999999993</v>
      </c>
      <c r="E75" s="3"/>
      <c r="F75" s="3"/>
      <c r="G75" s="3">
        <v>2.0819999999999999</v>
      </c>
      <c r="H75" s="3">
        <v>0.28299999999999997</v>
      </c>
      <c r="I75" s="3">
        <v>1.2</v>
      </c>
      <c r="J75" s="3"/>
      <c r="K75" s="3"/>
      <c r="L75" s="3"/>
      <c r="M75" s="3">
        <v>5.0000000000000001E-3</v>
      </c>
      <c r="N75" s="3">
        <v>0.01</v>
      </c>
      <c r="O75" s="3">
        <v>2.1999999999999999E-2</v>
      </c>
      <c r="P75" s="3">
        <v>2E-3</v>
      </c>
      <c r="Q75" s="3">
        <v>2E-3</v>
      </c>
      <c r="R75" s="3">
        <v>2E-3</v>
      </c>
      <c r="S75" s="3">
        <f>+(B75+E75+F75+G75+H75+I75+J75+M75+P75)</f>
        <v>5.6619999999999999</v>
      </c>
      <c r="T75" s="3">
        <f>+(C75+E75+F75+G75+H75+I75+K75+N75+Q75)</f>
        <v>7.8730000000000002</v>
      </c>
      <c r="U75" s="3">
        <f>+(D75+E75+F75+G75+H75+I75+L75+O75+R75)</f>
        <v>12.789</v>
      </c>
    </row>
    <row r="76" spans="1:21" s="4" customFormat="1" ht="15" customHeight="1" x14ac:dyDescent="0.15">
      <c r="A76" s="2" t="s">
        <v>3</v>
      </c>
      <c r="B76" s="3">
        <f>2.09+0.162</f>
        <v>2.2519999999999998</v>
      </c>
      <c r="C76" s="3">
        <f>4.296+0.333</f>
        <v>4.6290000000000004</v>
      </c>
      <c r="D76" s="3">
        <f>9.2+0.713</f>
        <v>9.9129999999999985</v>
      </c>
      <c r="E76" s="3">
        <v>1.4850000000000001</v>
      </c>
      <c r="F76" s="3"/>
      <c r="G76" s="3">
        <v>3</v>
      </c>
      <c r="H76" s="3">
        <v>0.3</v>
      </c>
      <c r="I76" s="3">
        <v>1.3520000000000001</v>
      </c>
      <c r="J76" s="3"/>
      <c r="K76" s="3"/>
      <c r="L76" s="3"/>
      <c r="M76" s="3"/>
      <c r="N76" s="3"/>
      <c r="O76" s="3"/>
      <c r="P76" s="3"/>
      <c r="Q76" s="3"/>
      <c r="R76" s="3"/>
      <c r="S76" s="3">
        <f>+(B76+E76+F76+G76+H76+I76+J76+M76+P76)</f>
        <v>8.3889999999999993</v>
      </c>
      <c r="T76" s="3">
        <f>+(C76+E76+F76+G76+H76+I76+K76+N76+Q76)</f>
        <v>10.766000000000002</v>
      </c>
      <c r="U76" s="3">
        <f>+(D76+E76+F76+G76+H76+I76+L76+O76+R76)</f>
        <v>16.049999999999997</v>
      </c>
    </row>
    <row r="77" spans="1:21" s="4" customFormat="1" ht="15" customHeight="1" x14ac:dyDescent="0.15">
      <c r="A77" s="2" t="s">
        <v>44</v>
      </c>
      <c r="B77" s="3">
        <v>2.09</v>
      </c>
      <c r="C77" s="3">
        <v>4.2960000000000003</v>
      </c>
      <c r="D77" s="3">
        <v>9.1999999999999993</v>
      </c>
      <c r="E77" s="3">
        <v>0.26500000000000001</v>
      </c>
      <c r="F77" s="3"/>
      <c r="G77" s="3">
        <v>2.2719999999999998</v>
      </c>
      <c r="H77" s="3">
        <v>0.28299999999999997</v>
      </c>
      <c r="I77" s="3">
        <v>1.2</v>
      </c>
      <c r="J77" s="3"/>
      <c r="K77" s="3"/>
      <c r="L77" s="3"/>
      <c r="M77" s="3"/>
      <c r="N77" s="3"/>
      <c r="O77" s="3"/>
      <c r="P77" s="3"/>
      <c r="Q77" s="3"/>
      <c r="R77" s="3"/>
      <c r="S77" s="3">
        <f>+(B77+E77+F77+G77+H77+I77+J77+M77+P77)</f>
        <v>6.11</v>
      </c>
      <c r="T77" s="3">
        <f>+(C77+E77+F77+G77+H77+I77+K77+N77+Q77)</f>
        <v>8.3160000000000007</v>
      </c>
      <c r="U77" s="3">
        <f>+(D77+E77+F77+G77+H77+I77+L77+O77+R77)</f>
        <v>13.219999999999999</v>
      </c>
    </row>
    <row r="78" spans="1:21" s="4" customFormat="1" ht="15" customHeight="1" x14ac:dyDescent="0.15">
      <c r="A78" s="2" t="s">
        <v>166</v>
      </c>
      <c r="B78" s="3">
        <f>2.09+0.433</f>
        <v>2.5229999999999997</v>
      </c>
      <c r="C78" s="3">
        <f>4.296+0.89</f>
        <v>5.1859999999999999</v>
      </c>
      <c r="D78" s="3">
        <f>9.2+1.906</f>
        <v>11.106</v>
      </c>
      <c r="E78" s="3">
        <v>0.52700000000000002</v>
      </c>
      <c r="F78" s="3"/>
      <c r="G78" s="3">
        <v>2.915</v>
      </c>
      <c r="H78" s="3">
        <v>0.29199999999999998</v>
      </c>
      <c r="I78" s="3">
        <v>1.552</v>
      </c>
      <c r="J78" s="3"/>
      <c r="K78" s="3"/>
      <c r="L78" s="3"/>
      <c r="M78" s="3"/>
      <c r="N78" s="3"/>
      <c r="O78" s="3"/>
      <c r="P78" s="3"/>
      <c r="Q78" s="3"/>
      <c r="R78" s="3"/>
      <c r="S78" s="3">
        <f>+(B78+E78+F78+G78+H78+I78+J78+M78+P78)</f>
        <v>7.8089999999999993</v>
      </c>
      <c r="T78" s="3">
        <f>+(C78+E78+F78+G78+H78+I78+K78+N78+Q78)</f>
        <v>10.472</v>
      </c>
      <c r="U78" s="3">
        <f>+(D78+E78+F78+G78+H78+I78+L78+O78+R78)</f>
        <v>16.391999999999999</v>
      </c>
    </row>
    <row r="79" spans="1:21" s="4" customFormat="1" ht="15" customHeight="1" x14ac:dyDescent="0.15">
      <c r="A79" s="2" t="s">
        <v>4</v>
      </c>
      <c r="B79" s="3">
        <f>2.09+1.777</f>
        <v>3.867</v>
      </c>
      <c r="C79" s="3">
        <f>4.296+3.653</f>
        <v>7.9489999999999998</v>
      </c>
      <c r="D79" s="3">
        <f>9.2+7.822</f>
        <v>17.021999999999998</v>
      </c>
      <c r="E79" s="5"/>
      <c r="F79" s="3"/>
      <c r="G79" s="3">
        <v>0.70399999999999996</v>
      </c>
      <c r="H79" s="3">
        <v>0.21</v>
      </c>
      <c r="I79" s="3">
        <v>0.626</v>
      </c>
      <c r="J79" s="3"/>
      <c r="K79" s="3"/>
      <c r="L79" s="3"/>
      <c r="M79" s="3">
        <v>1E-3</v>
      </c>
      <c r="N79" s="3">
        <v>2E-3</v>
      </c>
      <c r="O79" s="3">
        <v>4.0000000000000001E-3</v>
      </c>
      <c r="P79" s="3"/>
      <c r="Q79" s="3"/>
      <c r="R79" s="3"/>
      <c r="S79" s="3">
        <f>+(B79+E79+F79+G79+H79+I79+J79+M79+P79)</f>
        <v>5.4080000000000004</v>
      </c>
      <c r="T79" s="3">
        <f>+(C79+E79+F79+G79+H79+I79+K79+N79+Q79)</f>
        <v>9.4910000000000014</v>
      </c>
      <c r="U79" s="3">
        <f>+(D79+E79+F79+G79+H79+I79+L79+O79+R79)</f>
        <v>18.566000000000003</v>
      </c>
    </row>
    <row r="80" spans="1:21" s="4" customFormat="1" ht="15" customHeight="1" x14ac:dyDescent="0.15">
      <c r="A80" s="2" t="s">
        <v>66</v>
      </c>
      <c r="B80" s="3">
        <v>2.09</v>
      </c>
      <c r="C80" s="3">
        <v>4.2960000000000003</v>
      </c>
      <c r="D80" s="3">
        <v>9.1999999999999993</v>
      </c>
      <c r="E80" s="3"/>
      <c r="F80" s="3"/>
      <c r="G80" s="3">
        <v>0.84799999999999998</v>
      </c>
      <c r="H80" s="3">
        <v>0.20899999999999999</v>
      </c>
      <c r="I80" s="3">
        <v>1.042</v>
      </c>
      <c r="J80" s="3"/>
      <c r="K80" s="3"/>
      <c r="L80" s="3"/>
      <c r="M80" s="3"/>
      <c r="N80" s="3"/>
      <c r="O80" s="3"/>
      <c r="P80" s="3"/>
      <c r="Q80" s="3"/>
      <c r="R80" s="3"/>
      <c r="S80" s="3">
        <f>+(B80+E80+F80+G80+H80+I80+J80+M80+P80)</f>
        <v>4.1890000000000001</v>
      </c>
      <c r="T80" s="3">
        <f>+(C80+E80+F80+G80+H80+I80+K80+N80+Q80)</f>
        <v>6.3949999999999996</v>
      </c>
      <c r="U80" s="3">
        <f>+(D80+E80+F80+G80+H80+I80+L80+O80+R80)</f>
        <v>11.298999999999999</v>
      </c>
    </row>
    <row r="81" spans="1:21" s="4" customFormat="1" ht="15" customHeight="1" x14ac:dyDescent="0.15">
      <c r="A81" s="2" t="s">
        <v>172</v>
      </c>
      <c r="B81" s="3">
        <v>2.09</v>
      </c>
      <c r="C81" s="3">
        <v>4.2960000000000003</v>
      </c>
      <c r="D81" s="3">
        <v>9.1999999999999993</v>
      </c>
      <c r="E81" s="3"/>
      <c r="F81" s="3"/>
      <c r="G81" s="3">
        <v>1.0069999999999999</v>
      </c>
      <c r="H81" s="3">
        <v>0.3</v>
      </c>
      <c r="I81" s="3">
        <v>1.462</v>
      </c>
      <c r="J81" s="3"/>
      <c r="K81" s="3"/>
      <c r="L81" s="3"/>
      <c r="M81" s="3"/>
      <c r="N81" s="3"/>
      <c r="O81" s="3"/>
      <c r="P81" s="3"/>
      <c r="Q81" s="3"/>
      <c r="R81" s="3"/>
      <c r="S81" s="3">
        <f>+(B81+E81+F81+G81+H81+I81+J81+M81+P81)</f>
        <v>4.8589999999999991</v>
      </c>
      <c r="T81" s="3">
        <f>+(C81+E81+F81+G81+H81+I81+K81+N81+Q81)</f>
        <v>7.0649999999999995</v>
      </c>
      <c r="U81" s="3">
        <f>+(D81+E81+F81+G81+H81+I81+L81+O81+R81)</f>
        <v>11.968999999999999</v>
      </c>
    </row>
    <row r="82" spans="1:21" s="4" customFormat="1" ht="15" customHeight="1" x14ac:dyDescent="0.15">
      <c r="A82" s="2" t="s">
        <v>15</v>
      </c>
      <c r="B82" s="3">
        <v>2.09</v>
      </c>
      <c r="C82" s="3">
        <v>4.2960000000000003</v>
      </c>
      <c r="D82" s="3">
        <v>9.1999999999999993</v>
      </c>
      <c r="E82" s="3"/>
      <c r="F82" s="3"/>
      <c r="G82" s="3">
        <v>1.77</v>
      </c>
      <c r="H82" s="3">
        <v>0.215</v>
      </c>
      <c r="I82" s="3">
        <v>0.65100000000000002</v>
      </c>
      <c r="J82" s="3"/>
      <c r="K82" s="3"/>
      <c r="L82" s="3"/>
      <c r="M82" s="3"/>
      <c r="N82" s="3"/>
      <c r="O82" s="3"/>
      <c r="P82" s="3"/>
      <c r="Q82" s="3"/>
      <c r="R82" s="3"/>
      <c r="S82" s="3">
        <f>+(B82+E82+F82+G82+H82+I82+J82+M82+P82)</f>
        <v>4.726</v>
      </c>
      <c r="T82" s="3">
        <f>+(C82+E82+F82+G82+H82+I82+K82+N82+Q82)</f>
        <v>6.9320000000000004</v>
      </c>
      <c r="U82" s="3">
        <f>+(D82+E82+F82+G82+H82+I82+L82+O82+R82)</f>
        <v>11.835999999999999</v>
      </c>
    </row>
    <row r="83" spans="1:21" s="4" customFormat="1" ht="15" customHeight="1" x14ac:dyDescent="0.15">
      <c r="A83" s="2" t="s">
        <v>69</v>
      </c>
      <c r="B83" s="3">
        <f>2.09+0.775</f>
        <v>2.8649999999999998</v>
      </c>
      <c r="C83" s="3">
        <f>4.296+1.593</f>
        <v>5.8890000000000002</v>
      </c>
      <c r="D83" s="3">
        <f>9.2+3.411</f>
        <v>12.610999999999999</v>
      </c>
      <c r="E83" s="3"/>
      <c r="F83" s="3"/>
      <c r="G83" s="3">
        <v>2.5</v>
      </c>
      <c r="H83" s="3">
        <v>0.28699999999999998</v>
      </c>
      <c r="I83" s="3">
        <v>1.552</v>
      </c>
      <c r="J83" s="3"/>
      <c r="K83" s="3"/>
      <c r="L83" s="3"/>
      <c r="M83" s="3"/>
      <c r="N83" s="3"/>
      <c r="O83" s="3"/>
      <c r="P83" s="3"/>
      <c r="Q83" s="3"/>
      <c r="R83" s="3"/>
      <c r="S83" s="3">
        <f>+(B83+E83+F83+G83+H83+I83+J83+M83+P83)</f>
        <v>7.2040000000000006</v>
      </c>
      <c r="T83" s="3">
        <f>+(C83+E83+F83+G83+H83+I83+K83+N83+Q83)</f>
        <v>10.228</v>
      </c>
      <c r="U83" s="3">
        <f>+(D83+E83+F83+G83+H83+I83+L83+O83+R83)</f>
        <v>16.95</v>
      </c>
    </row>
    <row r="84" spans="1:21" s="4" customFormat="1" ht="15" customHeight="1" x14ac:dyDescent="0.15">
      <c r="A84" s="2" t="s">
        <v>84</v>
      </c>
      <c r="B84" s="3">
        <v>2.09</v>
      </c>
      <c r="C84" s="3">
        <v>4.2960000000000003</v>
      </c>
      <c r="D84" s="3">
        <v>9.1999999999999993</v>
      </c>
      <c r="E84" s="3">
        <v>0.441</v>
      </c>
      <c r="F84" s="3"/>
      <c r="G84" s="3">
        <v>1.2</v>
      </c>
      <c r="H84" s="3">
        <v>0</v>
      </c>
      <c r="I84" s="3">
        <v>0.6</v>
      </c>
      <c r="J84" s="3"/>
      <c r="K84" s="3"/>
      <c r="L84" s="3"/>
      <c r="M84" s="3"/>
      <c r="N84" s="3"/>
      <c r="O84" s="3"/>
      <c r="P84" s="3"/>
      <c r="Q84" s="3"/>
      <c r="R84" s="3"/>
      <c r="S84" s="3">
        <f>+(B84+E84+F84+G84+H84+I84+J84+M84+P84)</f>
        <v>4.3309999999999995</v>
      </c>
      <c r="T84" s="3">
        <f>+(C84+E84+F84+G84+H84+I84+K84+N84+Q84)</f>
        <v>6.5369999999999999</v>
      </c>
      <c r="U84" s="3">
        <f>+(D84+E84+F84+G84+H84+I84+L84+O84+R84)</f>
        <v>11.440999999999999</v>
      </c>
    </row>
    <row r="85" spans="1:21" s="4" customFormat="1" ht="15" customHeight="1" x14ac:dyDescent="0.15">
      <c r="A85" s="2" t="s">
        <v>73</v>
      </c>
      <c r="B85" s="3">
        <v>2.09</v>
      </c>
      <c r="C85" s="3">
        <v>4.2960000000000003</v>
      </c>
      <c r="D85" s="3">
        <v>9.1999999999999993</v>
      </c>
      <c r="E85" s="3"/>
      <c r="F85" s="3"/>
      <c r="G85" s="3">
        <v>2</v>
      </c>
      <c r="H85" s="3">
        <v>0.3</v>
      </c>
      <c r="I85" s="3">
        <v>1.552</v>
      </c>
      <c r="J85" s="3"/>
      <c r="K85" s="3"/>
      <c r="L85" s="3"/>
      <c r="M85" s="3">
        <v>1.0999999999999999E-2</v>
      </c>
      <c r="N85" s="3">
        <v>2.3E-2</v>
      </c>
      <c r="O85" s="3">
        <v>4.8000000000000001E-2</v>
      </c>
      <c r="P85" s="3">
        <v>7.0000000000000001E-3</v>
      </c>
      <c r="Q85" s="3">
        <v>7.0000000000000001E-3</v>
      </c>
      <c r="R85" s="3">
        <v>7.0000000000000001E-3</v>
      </c>
      <c r="S85" s="3">
        <f>+(B85+E85+F85+G85+H85+I85+J85+M85+P85)</f>
        <v>5.96</v>
      </c>
      <c r="T85" s="3">
        <f>+(C85+E85+F85+G85+H85+I85+K85+N85+Q85)</f>
        <v>8.177999999999999</v>
      </c>
      <c r="U85" s="3">
        <f>+(D85+E85+F85+G85+H85+I85+L85+O85+R85)</f>
        <v>13.106999999999999</v>
      </c>
    </row>
    <row r="86" spans="1:21" s="4" customFormat="1" ht="15" customHeight="1" x14ac:dyDescent="0.15">
      <c r="A86" s="2" t="s">
        <v>101</v>
      </c>
      <c r="B86" s="3">
        <f>2.09+0.347</f>
        <v>2.4369999999999998</v>
      </c>
      <c r="C86" s="3">
        <f>4.296+0.713</f>
        <v>5.0090000000000003</v>
      </c>
      <c r="D86" s="3">
        <f>9.2+1.527</f>
        <v>10.726999999999999</v>
      </c>
      <c r="E86" s="3"/>
      <c r="F86" s="3"/>
      <c r="G86" s="3">
        <v>1.5029999999999999</v>
      </c>
      <c r="H86" s="3">
        <v>0.28199999999999997</v>
      </c>
      <c r="I86" s="3">
        <v>1.552</v>
      </c>
      <c r="J86" s="3"/>
      <c r="K86" s="3"/>
      <c r="L86" s="3"/>
      <c r="M86" s="3">
        <v>6.0000000000000001E-3</v>
      </c>
      <c r="N86" s="3">
        <v>1.2E-2</v>
      </c>
      <c r="O86" s="3">
        <v>2.5999999999999999E-2</v>
      </c>
      <c r="P86" s="3">
        <v>1E-3</v>
      </c>
      <c r="Q86" s="3">
        <v>1E-3</v>
      </c>
      <c r="R86" s="3">
        <v>1E-3</v>
      </c>
      <c r="S86" s="3">
        <f>+(B86+E86+F86+G86+H86+I86+J86+M86+P86)</f>
        <v>5.7809999999999997</v>
      </c>
      <c r="T86" s="3">
        <f>+(C86+E86+F86+G86+H86+I86+K86+N86+Q86)</f>
        <v>8.359</v>
      </c>
      <c r="U86" s="3">
        <f>+(D86+E86+F86+G86+H86+I86+L86+O86+R86)</f>
        <v>14.090999999999998</v>
      </c>
    </row>
    <row r="87" spans="1:21" s="4" customFormat="1" ht="15" customHeight="1" x14ac:dyDescent="0.15">
      <c r="A87" s="2" t="s">
        <v>77</v>
      </c>
      <c r="B87" s="3">
        <v>2.09</v>
      </c>
      <c r="C87" s="3">
        <v>4.2960000000000003</v>
      </c>
      <c r="D87" s="3">
        <v>9.1999999999999993</v>
      </c>
      <c r="E87" s="3">
        <v>2.0739999999999998</v>
      </c>
      <c r="F87" s="3">
        <v>0.51300000000000001</v>
      </c>
      <c r="G87" s="3">
        <v>2.4870000000000001</v>
      </c>
      <c r="H87" s="3">
        <v>0.3</v>
      </c>
      <c r="I87" s="3">
        <v>1.4</v>
      </c>
      <c r="J87" s="3"/>
      <c r="K87" s="3"/>
      <c r="L87" s="3"/>
      <c r="M87" s="3">
        <v>1E-3</v>
      </c>
      <c r="N87" s="3">
        <v>2E-3</v>
      </c>
      <c r="O87" s="3">
        <v>4.0000000000000001E-3</v>
      </c>
      <c r="P87" s="3"/>
      <c r="Q87" s="3"/>
      <c r="R87" s="3"/>
      <c r="S87" s="3">
        <f>+(B87+E87+F87+G87+H87+I87+J87+M87+P87)</f>
        <v>8.8649999999999984</v>
      </c>
      <c r="T87" s="3">
        <f>+(C87+E87+F87+G87+H87+I87+K87+N87+Q87)</f>
        <v>11.072000000000003</v>
      </c>
      <c r="U87" s="3">
        <f>+(D87+E87+F87+G87+H87+I87+L87+O87+R87)</f>
        <v>15.978</v>
      </c>
    </row>
    <row r="88" spans="1:21" s="4" customFormat="1" ht="15" customHeight="1" x14ac:dyDescent="0.15">
      <c r="A88" s="2" t="s">
        <v>83</v>
      </c>
      <c r="B88" s="3">
        <v>2.09</v>
      </c>
      <c r="C88" s="3">
        <v>4.2960000000000003</v>
      </c>
      <c r="D88" s="3">
        <v>9.1999999999999993</v>
      </c>
      <c r="E88" s="3"/>
      <c r="F88" s="3"/>
      <c r="G88" s="3">
        <v>2.9129999999999998</v>
      </c>
      <c r="H88" s="3">
        <v>0.29099999999999998</v>
      </c>
      <c r="I88" s="3">
        <v>0.56999999999999995</v>
      </c>
      <c r="J88" s="3"/>
      <c r="K88" s="3"/>
      <c r="L88" s="3"/>
      <c r="M88" s="3">
        <v>1E-3</v>
      </c>
      <c r="N88" s="3">
        <v>2E-3</v>
      </c>
      <c r="O88" s="3">
        <v>4.0000000000000001E-3</v>
      </c>
      <c r="P88" s="3"/>
      <c r="Q88" s="3"/>
      <c r="R88" s="3"/>
      <c r="S88" s="3">
        <f>+(B88+E88+F88+G88+H88+I88+J88+M88+P88)</f>
        <v>5.8650000000000011</v>
      </c>
      <c r="T88" s="3">
        <f>+(C88+E88+F88+G88+H88+I88+K88+N88+Q88)</f>
        <v>8.072000000000001</v>
      </c>
      <c r="U88" s="3">
        <f>+(D88+E88+F88+G88+H88+I88+L88+O88+R88)</f>
        <v>12.978</v>
      </c>
    </row>
    <row r="89" spans="1:21" s="4" customFormat="1" ht="15" customHeight="1" x14ac:dyDescent="0.15">
      <c r="A89" s="2" t="s">
        <v>78</v>
      </c>
      <c r="B89" s="3">
        <v>2.09</v>
      </c>
      <c r="C89" s="3">
        <v>4.2960000000000003</v>
      </c>
      <c r="D89" s="3">
        <v>9.1999999999999993</v>
      </c>
      <c r="E89" s="3"/>
      <c r="F89" s="3"/>
      <c r="G89" s="3">
        <v>1.85</v>
      </c>
      <c r="H89" s="3">
        <v>0.28799999999999998</v>
      </c>
      <c r="I89" s="3">
        <v>1.552</v>
      </c>
      <c r="J89" s="3"/>
      <c r="K89" s="3"/>
      <c r="L89" s="3"/>
      <c r="M89" s="3"/>
      <c r="N89" s="3"/>
      <c r="O89" s="3"/>
      <c r="P89" s="3"/>
      <c r="Q89" s="3"/>
      <c r="R89" s="3"/>
      <c r="S89" s="3">
        <f>+(B89+E89+F89+G89+H89+I89+J89+M89+P89)</f>
        <v>5.7799999999999994</v>
      </c>
      <c r="T89" s="3">
        <f>+(C89+E89+F89+G89+H89+I89+K89+N89+Q89)</f>
        <v>7.9860000000000007</v>
      </c>
      <c r="U89" s="3">
        <f>+(D89+E89+F89+G89+H89+I89+L89+O89+R89)</f>
        <v>12.889999999999999</v>
      </c>
    </row>
    <row r="90" spans="1:21" s="4" customFormat="1" ht="15" customHeight="1" x14ac:dyDescent="0.15">
      <c r="A90" s="2" t="s">
        <v>124</v>
      </c>
      <c r="B90" s="3">
        <f>2.09+0.165</f>
        <v>2.2549999999999999</v>
      </c>
      <c r="C90" s="3">
        <f>4.296+0.339</f>
        <v>4.6350000000000007</v>
      </c>
      <c r="D90" s="3">
        <f>9.2+0.726</f>
        <v>9.9259999999999984</v>
      </c>
      <c r="E90" s="3">
        <v>0.60099999999999998</v>
      </c>
      <c r="F90" s="3"/>
      <c r="G90" s="3">
        <v>2.9460000000000002</v>
      </c>
      <c r="H90" s="3">
        <v>0.29499999999999998</v>
      </c>
      <c r="I90" s="3">
        <v>1.3520000000000001</v>
      </c>
      <c r="J90" s="3"/>
      <c r="K90" s="3"/>
      <c r="L90" s="3"/>
      <c r="M90" s="3">
        <v>5.0000000000000001E-3</v>
      </c>
      <c r="N90" s="3">
        <v>0.01</v>
      </c>
      <c r="O90" s="3">
        <v>2.1999999999999999E-2</v>
      </c>
      <c r="P90" s="3">
        <v>2E-3</v>
      </c>
      <c r="Q90" s="3">
        <v>2E-3</v>
      </c>
      <c r="R90" s="3">
        <v>2E-3</v>
      </c>
      <c r="S90" s="3">
        <f>+(B90+E90+F90+G90+H90+I90+J90+M90+P90)</f>
        <v>7.4559999999999995</v>
      </c>
      <c r="T90" s="3">
        <f>+(C90+E90+F90+G90+H90+I90+K90+N90+Q90)</f>
        <v>9.8410000000000011</v>
      </c>
      <c r="U90" s="3">
        <f>+(D90+E90+F90+G90+H90+I90+L90+O90+R90)</f>
        <v>15.143999999999998</v>
      </c>
    </row>
    <row r="91" spans="1:21" s="4" customFormat="1" ht="15" customHeight="1" x14ac:dyDescent="0.15">
      <c r="A91" s="2" t="s">
        <v>114</v>
      </c>
      <c r="B91" s="3">
        <v>2.09</v>
      </c>
      <c r="C91" s="3">
        <v>4.2960000000000003</v>
      </c>
      <c r="D91" s="3">
        <v>9.1999999999999993</v>
      </c>
      <c r="E91" s="3"/>
      <c r="F91" s="3"/>
      <c r="G91" s="3">
        <v>2.7</v>
      </c>
      <c r="H91" s="3">
        <v>0.3</v>
      </c>
      <c r="I91" s="3">
        <v>1.552</v>
      </c>
      <c r="J91" s="3"/>
      <c r="K91" s="3"/>
      <c r="L91" s="3"/>
      <c r="M91" s="3">
        <v>1E-3</v>
      </c>
      <c r="N91" s="3">
        <v>2E-3</v>
      </c>
      <c r="O91" s="3">
        <v>4.0000000000000001E-3</v>
      </c>
      <c r="P91" s="3"/>
      <c r="Q91" s="3"/>
      <c r="R91" s="3"/>
      <c r="S91" s="3">
        <f>+(B91+E91+F91+G91+H91+I91+J91+M91+P91)</f>
        <v>6.6429999999999998</v>
      </c>
      <c r="T91" s="3">
        <f>+(C91+E91+F91+G91+H91+I91+K91+N91+Q91)</f>
        <v>8.8500000000000014</v>
      </c>
      <c r="U91" s="3">
        <f>+(D91+E91+F91+G91+H91+I91+L91+O91+R91)</f>
        <v>13.755999999999998</v>
      </c>
    </row>
    <row r="92" spans="1:21" s="4" customFormat="1" ht="15" customHeight="1" x14ac:dyDescent="0.15">
      <c r="A92" s="2" t="s">
        <v>81</v>
      </c>
      <c r="B92" s="3">
        <f>2.09+0.716</f>
        <v>2.806</v>
      </c>
      <c r="C92" s="3">
        <f>4.296+1.472</f>
        <v>5.7680000000000007</v>
      </c>
      <c r="D92" s="3">
        <f>9.2+3.152</f>
        <v>12.352</v>
      </c>
      <c r="E92" s="3"/>
      <c r="F92" s="3"/>
      <c r="G92" s="3">
        <v>2.65</v>
      </c>
      <c r="H92" s="3">
        <v>0.1</v>
      </c>
      <c r="I92" s="3">
        <v>1.552</v>
      </c>
      <c r="J92" s="3"/>
      <c r="K92" s="3"/>
      <c r="L92" s="3"/>
      <c r="M92" s="3"/>
      <c r="N92" s="3"/>
      <c r="O92" s="3"/>
      <c r="P92" s="3"/>
      <c r="Q92" s="3"/>
      <c r="R92" s="3"/>
      <c r="S92" s="3">
        <f>+(B92+E92+F92+G92+H92+I92+J92+M92+P92)</f>
        <v>7.1079999999999988</v>
      </c>
      <c r="T92" s="3">
        <f>+(C92+E92+F92+G92+H92+I92+K92+N92+Q92)</f>
        <v>10.07</v>
      </c>
      <c r="U92" s="3">
        <f>+(D92+E92+F92+G92+H92+I92+L92+O92+R92)</f>
        <v>16.654</v>
      </c>
    </row>
    <row r="93" spans="1:21" s="4" customFormat="1" ht="15" customHeight="1" x14ac:dyDescent="0.15">
      <c r="A93" s="2" t="s">
        <v>28</v>
      </c>
      <c r="B93" s="3">
        <v>2.09</v>
      </c>
      <c r="C93" s="3">
        <v>4.2960000000000003</v>
      </c>
      <c r="D93" s="3">
        <v>9.1999999999999993</v>
      </c>
      <c r="E93" s="3"/>
      <c r="F93" s="3"/>
      <c r="G93" s="3">
        <v>1.3919999999999999</v>
      </c>
      <c r="H93" s="3">
        <v>0.28199999999999997</v>
      </c>
      <c r="I93" s="3">
        <v>1.552</v>
      </c>
      <c r="J93" s="3"/>
      <c r="K93" s="3"/>
      <c r="L93" s="3"/>
      <c r="M93" s="3">
        <v>1E-3</v>
      </c>
      <c r="N93" s="3">
        <v>2E-3</v>
      </c>
      <c r="O93" s="3">
        <v>4.0000000000000001E-3</v>
      </c>
      <c r="P93" s="3"/>
      <c r="Q93" s="3"/>
      <c r="R93" s="3"/>
      <c r="S93" s="3">
        <f>+(B93+E93+F93+G93+H93+I93+J93+M93+P93)</f>
        <v>5.3170000000000002</v>
      </c>
      <c r="T93" s="3">
        <f>+(C93+E93+F93+G93+H93+I93+K93+N93+Q93)</f>
        <v>7.524</v>
      </c>
      <c r="U93" s="3">
        <f>+(D93+E93+F93+G93+H93+I93+L93+O93+R93)</f>
        <v>12.429999999999998</v>
      </c>
    </row>
    <row r="94" spans="1:21" s="4" customFormat="1" ht="15" customHeight="1" x14ac:dyDescent="0.15">
      <c r="A94" s="2" t="s">
        <v>29</v>
      </c>
      <c r="B94" s="3">
        <v>2.09</v>
      </c>
      <c r="C94" s="3">
        <v>4.2960000000000003</v>
      </c>
      <c r="D94" s="3">
        <v>9.1999999999999993</v>
      </c>
      <c r="E94" s="3"/>
      <c r="F94" s="3"/>
      <c r="G94" s="3">
        <v>2.1669999999999998</v>
      </c>
      <c r="H94" s="3">
        <v>0</v>
      </c>
      <c r="I94" s="3">
        <v>1.552</v>
      </c>
      <c r="J94" s="3"/>
      <c r="K94" s="3"/>
      <c r="L94" s="3"/>
      <c r="M94" s="3">
        <v>1E-3</v>
      </c>
      <c r="N94" s="3">
        <v>2E-3</v>
      </c>
      <c r="O94" s="3">
        <v>4.0000000000000001E-3</v>
      </c>
      <c r="P94" s="3"/>
      <c r="Q94" s="3"/>
      <c r="R94" s="3"/>
      <c r="S94" s="3">
        <f>+(B94+E94+F94+G94+H94+I94+J94+M94+P94)</f>
        <v>5.81</v>
      </c>
      <c r="T94" s="3">
        <f>+(C94+E94+F94+G94+H94+I94+K94+N94+Q94)</f>
        <v>8.0170000000000012</v>
      </c>
      <c r="U94" s="3">
        <f>+(D94+E94+F94+G94+H94+I94+L94+O94+R94)</f>
        <v>12.922999999999998</v>
      </c>
    </row>
    <row r="95" spans="1:21" s="4" customFormat="1" ht="15" customHeight="1" x14ac:dyDescent="0.15">
      <c r="A95" s="2" t="s">
        <v>85</v>
      </c>
      <c r="B95" s="3">
        <v>2.09</v>
      </c>
      <c r="C95" s="3">
        <v>4.2960000000000003</v>
      </c>
      <c r="D95" s="3">
        <v>9.1999999999999993</v>
      </c>
      <c r="E95" s="3"/>
      <c r="F95" s="3"/>
      <c r="G95" s="3">
        <v>3</v>
      </c>
      <c r="H95" s="3">
        <v>0.3</v>
      </c>
      <c r="I95" s="3">
        <v>1.476</v>
      </c>
      <c r="J95" s="3"/>
      <c r="K95" s="3"/>
      <c r="L95" s="3"/>
      <c r="M95" s="3">
        <v>2.5999999999999999E-2</v>
      </c>
      <c r="N95" s="3">
        <v>5.2999999999999999E-2</v>
      </c>
      <c r="O95" s="3">
        <v>0.114</v>
      </c>
      <c r="P95" s="3">
        <v>1.0999999999999999E-2</v>
      </c>
      <c r="Q95" s="3">
        <v>1.0999999999999999E-2</v>
      </c>
      <c r="R95" s="3">
        <v>1.0999999999999999E-2</v>
      </c>
      <c r="S95" s="3">
        <f>+(B95+E95+F95+G95+H95+I95+J95+M95+P95)</f>
        <v>6.9029999999999996</v>
      </c>
      <c r="T95" s="3">
        <f>+(C95+E95+F95+G95+H95+I95+K95+N95+Q95)</f>
        <v>9.1359999999999992</v>
      </c>
      <c r="U95" s="3">
        <f>+(D95+E95+F95+G95+H95+I95+L95+O95+R95)</f>
        <v>14.100999999999999</v>
      </c>
    </row>
    <row r="96" spans="1:21" s="4" customFormat="1" ht="15" customHeight="1" x14ac:dyDescent="0.15">
      <c r="A96" s="2" t="s">
        <v>62</v>
      </c>
      <c r="B96" s="3">
        <f>2.09+0.561</f>
        <v>2.6509999999999998</v>
      </c>
      <c r="C96" s="3">
        <f>4.296+1.153</f>
        <v>5.4489999999999998</v>
      </c>
      <c r="D96" s="3">
        <f>9.2+2.469</f>
        <v>11.668999999999999</v>
      </c>
      <c r="E96" s="3">
        <v>1.004</v>
      </c>
      <c r="F96" s="3"/>
      <c r="G96" s="3">
        <v>2.847</v>
      </c>
      <c r="H96" s="3">
        <v>0.28499999999999998</v>
      </c>
      <c r="I96" s="3">
        <v>1.552</v>
      </c>
      <c r="J96" s="3"/>
      <c r="K96" s="3"/>
      <c r="L96" s="3"/>
      <c r="M96" s="3"/>
      <c r="N96" s="3"/>
      <c r="O96" s="3"/>
      <c r="P96" s="3"/>
      <c r="Q96" s="3"/>
      <c r="R96" s="3"/>
      <c r="S96" s="3">
        <f>+(B96+E96+F96+G96+H96+I96+J96+M96+P96)</f>
        <v>8.3390000000000004</v>
      </c>
      <c r="T96" s="3">
        <f>+(C96+E96+F96+G96+H96+I96+K96+N96+Q96)</f>
        <v>11.136999999999999</v>
      </c>
      <c r="U96" s="3">
        <f>+(D96+E96+F96+G96+H96+I96+L96+O96+R96)</f>
        <v>17.356999999999999</v>
      </c>
    </row>
    <row r="97" spans="1:21" s="4" customFormat="1" ht="15" customHeight="1" x14ac:dyDescent="0.15">
      <c r="A97" s="2" t="s">
        <v>51</v>
      </c>
      <c r="B97" s="3">
        <v>2.09</v>
      </c>
      <c r="C97" s="3">
        <v>4.2960000000000003</v>
      </c>
      <c r="D97" s="3">
        <v>9.1999999999999993</v>
      </c>
      <c r="E97" s="3"/>
      <c r="F97" s="3"/>
      <c r="G97" s="3">
        <v>3</v>
      </c>
      <c r="H97" s="3">
        <v>0.3</v>
      </c>
      <c r="I97" s="3">
        <v>1.552</v>
      </c>
      <c r="J97" s="3"/>
      <c r="K97" s="3"/>
      <c r="L97" s="3"/>
      <c r="M97" s="3">
        <v>1E-3</v>
      </c>
      <c r="N97" s="3">
        <v>2E-3</v>
      </c>
      <c r="O97" s="3">
        <v>4.0000000000000001E-3</v>
      </c>
      <c r="P97" s="3"/>
      <c r="Q97" s="3"/>
      <c r="R97" s="3"/>
      <c r="S97" s="3">
        <f>+(B97+E97+F97+G97+H97+I97+J97+M97+P97)</f>
        <v>6.9430000000000005</v>
      </c>
      <c r="T97" s="3">
        <f>+(C97+E97+F97+G97+H97+I97+K97+N97+Q97)</f>
        <v>9.15</v>
      </c>
      <c r="U97" s="3">
        <f>+(D97+E97+F97+G97+H97+I97+L97+O97+R97)</f>
        <v>14.055999999999999</v>
      </c>
    </row>
    <row r="98" spans="1:21" s="4" customFormat="1" ht="15" customHeight="1" x14ac:dyDescent="0.15">
      <c r="A98" s="4" t="s">
        <v>130</v>
      </c>
      <c r="B98" s="3">
        <v>2.09</v>
      </c>
      <c r="C98" s="3">
        <v>4.2960000000000003</v>
      </c>
      <c r="D98" s="3">
        <v>9.1999999999999993</v>
      </c>
      <c r="E98" s="3"/>
      <c r="F98" s="3"/>
      <c r="G98" s="3">
        <v>2.0720000000000001</v>
      </c>
      <c r="H98" s="3">
        <v>0.16200000000000001</v>
      </c>
      <c r="I98" s="3">
        <v>0</v>
      </c>
      <c r="J98" s="3"/>
      <c r="K98" s="3"/>
      <c r="L98" s="3"/>
      <c r="M98" s="3">
        <v>1E-3</v>
      </c>
      <c r="N98" s="3">
        <v>2E-3</v>
      </c>
      <c r="O98" s="3">
        <v>4.0000000000000001E-3</v>
      </c>
      <c r="P98" s="3"/>
      <c r="Q98" s="3"/>
      <c r="R98" s="3"/>
      <c r="S98" s="3">
        <f>+(B98+E98+F98+G98+H98+I98+J98+M98+P98)</f>
        <v>4.3250000000000002</v>
      </c>
      <c r="T98" s="3">
        <f>+(C98+E98+F98+G98+H98+I98+K98+N98+Q98)</f>
        <v>6.532</v>
      </c>
      <c r="U98" s="3">
        <f>+(D98+E98+F98+G98+H98+I98+L98+O98+R98)</f>
        <v>11.437999999999999</v>
      </c>
    </row>
    <row r="99" spans="1:21" s="4" customFormat="1" ht="15" customHeight="1" x14ac:dyDescent="0.15">
      <c r="A99" s="2" t="s">
        <v>34</v>
      </c>
      <c r="B99" s="3">
        <f>2.09+0.068</f>
        <v>2.1579999999999999</v>
      </c>
      <c r="C99" s="3">
        <f>4.296+0.14</f>
        <v>4.4359999999999999</v>
      </c>
      <c r="D99" s="3">
        <f>9.2+0.299</f>
        <v>9.4989999999999988</v>
      </c>
      <c r="E99" s="3"/>
      <c r="F99" s="3"/>
      <c r="G99" s="3">
        <v>3</v>
      </c>
      <c r="H99" s="3">
        <v>0.3</v>
      </c>
      <c r="I99" s="3">
        <v>1.552</v>
      </c>
      <c r="J99" s="3"/>
      <c r="K99" s="3"/>
      <c r="L99" s="3"/>
      <c r="M99" s="3">
        <v>5.0000000000000001E-3</v>
      </c>
      <c r="N99" s="3">
        <v>0.01</v>
      </c>
      <c r="O99" s="3">
        <v>2.1999999999999999E-2</v>
      </c>
      <c r="P99" s="3">
        <v>3.0000000000000001E-3</v>
      </c>
      <c r="Q99" s="3">
        <v>3.0000000000000001E-3</v>
      </c>
      <c r="R99" s="3">
        <v>3.0000000000000001E-3</v>
      </c>
      <c r="S99" s="3">
        <f>+(B99+E99+F99+G99+H99+I99+J99+M99+P99)</f>
        <v>7.0179999999999998</v>
      </c>
      <c r="T99" s="3">
        <f>+(C99+E99+F99+G99+H99+I99+K99+N99+Q99)</f>
        <v>9.3010000000000002</v>
      </c>
      <c r="U99" s="3">
        <f>+(D99+E99+F99+G99+H99+I99+L99+O99+R99)</f>
        <v>14.375999999999999</v>
      </c>
    </row>
    <row r="100" spans="1:21" s="4" customFormat="1" ht="15" customHeight="1" x14ac:dyDescent="0.15">
      <c r="A100" s="2" t="s">
        <v>171</v>
      </c>
      <c r="B100" s="3">
        <f>2.09+0.781</f>
        <v>2.871</v>
      </c>
      <c r="C100" s="3">
        <f>4.296+1.605</f>
        <v>5.9009999999999998</v>
      </c>
      <c r="D100" s="3">
        <f>9.2+3.438</f>
        <v>12.638</v>
      </c>
      <c r="E100" s="3">
        <v>3.7410000000000001</v>
      </c>
      <c r="F100" s="3"/>
      <c r="G100" s="3">
        <v>3</v>
      </c>
      <c r="H100" s="3">
        <v>0.3</v>
      </c>
      <c r="I100" s="3">
        <v>1.552</v>
      </c>
      <c r="J100" s="3"/>
      <c r="K100" s="3"/>
      <c r="L100" s="3"/>
      <c r="M100" s="3"/>
      <c r="N100" s="3"/>
      <c r="O100" s="3"/>
      <c r="P100" s="3"/>
      <c r="Q100" s="3"/>
      <c r="R100" s="3"/>
      <c r="S100" s="3">
        <f>+(B100+E100+F100+G100+H100+I100+J100+M100+P100)</f>
        <v>11.464</v>
      </c>
      <c r="T100" s="3">
        <f>+(C100+E100+F100+G100+H100+I100+K100+N100+Q100)</f>
        <v>14.494</v>
      </c>
      <c r="U100" s="3">
        <f>+(D100+E100+F100+G100+H100+I100+L100+O100+R100)</f>
        <v>21.231000000000002</v>
      </c>
    </row>
    <row r="101" spans="1:21" s="4" customFormat="1" ht="15" customHeight="1" x14ac:dyDescent="0.15">
      <c r="A101" s="2" t="s">
        <v>80</v>
      </c>
      <c r="B101" s="3">
        <v>2.09</v>
      </c>
      <c r="C101" s="3">
        <v>4.2960000000000003</v>
      </c>
      <c r="D101" s="3">
        <v>9.1999999999999993</v>
      </c>
      <c r="E101" s="3">
        <v>1.7969999999999999</v>
      </c>
      <c r="F101" s="3"/>
      <c r="G101" s="3">
        <v>2.7</v>
      </c>
      <c r="H101" s="3">
        <v>0.28899999999999998</v>
      </c>
      <c r="I101" s="3">
        <v>1.552</v>
      </c>
      <c r="J101" s="3"/>
      <c r="K101" s="3"/>
      <c r="L101" s="3"/>
      <c r="M101" s="3">
        <v>2E-3</v>
      </c>
      <c r="N101" s="3">
        <v>4.0000000000000001E-3</v>
      </c>
      <c r="O101" s="3">
        <v>8.9999999999999993E-3</v>
      </c>
      <c r="P101" s="3"/>
      <c r="Q101" s="3"/>
      <c r="R101" s="3"/>
      <c r="S101" s="3">
        <f>+(B101+E101+F101+G101+H101+I101+J101+M101+P101)</f>
        <v>8.43</v>
      </c>
      <c r="T101" s="3">
        <f>+(C101+E101+F101+G101+H101+I101+K101+N101+Q101)</f>
        <v>10.637999999999998</v>
      </c>
      <c r="U101" s="3">
        <f>+(D101+E101+F101+G101+H101+I101+L101+O101+R101)</f>
        <v>15.546999999999999</v>
      </c>
    </row>
    <row r="102" spans="1:21" s="4" customFormat="1" ht="15" customHeight="1" x14ac:dyDescent="0.15">
      <c r="A102" s="2" t="s">
        <v>35</v>
      </c>
      <c r="B102" s="3">
        <f>2.09+0.877</f>
        <v>2.9669999999999996</v>
      </c>
      <c r="C102" s="3">
        <f>4.296+1.803</f>
        <v>6.0990000000000002</v>
      </c>
      <c r="D102" s="3">
        <f>9.2+3.86</f>
        <v>13.059999999999999</v>
      </c>
      <c r="E102" s="3"/>
      <c r="F102" s="3"/>
      <c r="G102" s="3">
        <v>2.222</v>
      </c>
      <c r="H102" s="3">
        <v>0.29199999999999998</v>
      </c>
      <c r="I102" s="3">
        <v>1.552</v>
      </c>
      <c r="J102" s="3"/>
      <c r="K102" s="3"/>
      <c r="L102" s="3"/>
      <c r="M102" s="3">
        <v>3.0000000000000001E-3</v>
      </c>
      <c r="N102" s="3">
        <v>6.0000000000000001E-3</v>
      </c>
      <c r="O102" s="3">
        <v>1.2999999999999999E-2</v>
      </c>
      <c r="P102" s="3">
        <v>1E-3</v>
      </c>
      <c r="Q102" s="3">
        <v>1E-3</v>
      </c>
      <c r="R102" s="3">
        <v>1E-3</v>
      </c>
      <c r="S102" s="3">
        <f>+(B102+E102+F102+G102+H102+I102+J102+M102+P102)</f>
        <v>7.0369999999999999</v>
      </c>
      <c r="T102" s="3">
        <f>+(C102+E102+F102+G102+H102+I102+K102+N102+Q102)</f>
        <v>10.171999999999999</v>
      </c>
      <c r="U102" s="3">
        <f>+(D102+E102+F102+G102+H102+I102+L102+O102+R102)</f>
        <v>17.14</v>
      </c>
    </row>
    <row r="103" spans="1:21" s="4" customFormat="1" ht="15" customHeight="1" x14ac:dyDescent="0.15">
      <c r="A103" s="2" t="s">
        <v>98</v>
      </c>
      <c r="B103" s="3">
        <v>2.09</v>
      </c>
      <c r="C103" s="3">
        <v>4.2960000000000003</v>
      </c>
      <c r="D103" s="3">
        <v>9.1999999999999993</v>
      </c>
      <c r="E103" s="3">
        <v>0.72099999999999997</v>
      </c>
      <c r="F103" s="3"/>
      <c r="G103" s="3">
        <v>3</v>
      </c>
      <c r="H103" s="3">
        <v>0.3</v>
      </c>
      <c r="I103" s="3">
        <v>1.4</v>
      </c>
      <c r="J103" s="3"/>
      <c r="K103" s="3"/>
      <c r="L103" s="3"/>
      <c r="M103" s="3">
        <v>1.4999999999999999E-2</v>
      </c>
      <c r="N103" s="3">
        <v>3.1E-2</v>
      </c>
      <c r="O103" s="3">
        <v>6.6000000000000003E-2</v>
      </c>
      <c r="P103" s="3">
        <v>6.0000000000000001E-3</v>
      </c>
      <c r="Q103" s="3">
        <v>6.0000000000000001E-3</v>
      </c>
      <c r="R103" s="3">
        <v>6.0000000000000001E-3</v>
      </c>
      <c r="S103" s="3">
        <f>+(B103+E103+F103+G103+H103+I103+J103+M103+P103)</f>
        <v>7.5319999999999991</v>
      </c>
      <c r="T103" s="3">
        <f>+(C103+E103+F103+G103+H103+I103+K103+N103+Q103)</f>
        <v>9.7540000000000013</v>
      </c>
      <c r="U103" s="3">
        <f>+(D103+E103+F103+G103+H103+I103+L103+O103+R103)</f>
        <v>14.693000000000001</v>
      </c>
    </row>
    <row r="104" spans="1:21" s="4" customFormat="1" ht="15" customHeight="1" x14ac:dyDescent="0.15">
      <c r="A104" s="2" t="s">
        <v>17</v>
      </c>
      <c r="B104" s="3">
        <v>2.09</v>
      </c>
      <c r="C104" s="3">
        <v>4.2960000000000003</v>
      </c>
      <c r="D104" s="3">
        <v>9.1999999999999993</v>
      </c>
      <c r="E104" s="3"/>
      <c r="F104" s="3"/>
      <c r="G104" s="3">
        <v>3</v>
      </c>
      <c r="H104" s="3">
        <v>0.3</v>
      </c>
      <c r="I104" s="3">
        <v>1.552</v>
      </c>
      <c r="J104" s="3"/>
      <c r="K104" s="3"/>
      <c r="L104" s="3"/>
      <c r="M104" s="5">
        <v>1.4999999999999999E-2</v>
      </c>
      <c r="N104" s="5">
        <v>3.1E-2</v>
      </c>
      <c r="O104" s="5">
        <v>6.6000000000000003E-2</v>
      </c>
      <c r="P104" s="5">
        <v>6.0000000000000001E-3</v>
      </c>
      <c r="Q104" s="5">
        <v>6.0000000000000001E-3</v>
      </c>
      <c r="R104" s="5">
        <v>6.0000000000000001E-3</v>
      </c>
      <c r="S104" s="3">
        <f>+(B104+E104+F104+G104+H104+I104+J104+M104+P104)</f>
        <v>6.9630000000000001</v>
      </c>
      <c r="T104" s="3">
        <f>+(C104+E104+F104+G104+H104+I104+K104+N104+Q104)</f>
        <v>9.1850000000000005</v>
      </c>
      <c r="U104" s="3">
        <f>+(D104+E104+F104+G104+H104+I104+L104+O104+R104)</f>
        <v>14.124000000000001</v>
      </c>
    </row>
    <row r="105" spans="1:21" s="4" customFormat="1" ht="15" customHeight="1" x14ac:dyDescent="0.15">
      <c r="A105" s="2" t="s">
        <v>132</v>
      </c>
      <c r="B105" s="3">
        <v>2.09</v>
      </c>
      <c r="C105" s="3">
        <v>4.2960000000000003</v>
      </c>
      <c r="D105" s="3">
        <v>9.1999999999999993</v>
      </c>
      <c r="E105" s="3">
        <v>0.38900000000000001</v>
      </c>
      <c r="F105" s="3"/>
      <c r="G105" s="3">
        <v>0.92100000000000004</v>
      </c>
      <c r="H105" s="3">
        <v>0.27700000000000002</v>
      </c>
      <c r="I105" s="3">
        <v>0.59099999999999997</v>
      </c>
      <c r="J105" s="3"/>
      <c r="K105" s="3"/>
      <c r="L105" s="3"/>
      <c r="M105" s="3"/>
      <c r="N105" s="3"/>
      <c r="O105" s="3"/>
      <c r="P105" s="3"/>
      <c r="Q105" s="3"/>
      <c r="R105" s="3"/>
      <c r="S105" s="3">
        <f>+(B105+E105+F105+G105+H105+I105+J105+M105+P105)</f>
        <v>4.2680000000000007</v>
      </c>
      <c r="T105" s="3">
        <f>+(C105+E105+F105+G105+H105+I105+K105+N105+Q105)</f>
        <v>6.4740000000000011</v>
      </c>
      <c r="U105" s="3">
        <f>+(D105+E105+F105+G105+H105+I105+L105+O105+R105)</f>
        <v>11.377999999999997</v>
      </c>
    </row>
    <row r="106" spans="1:21" s="4" customFormat="1" ht="15" customHeight="1" x14ac:dyDescent="0.15">
      <c r="A106" s="6" t="s">
        <v>48</v>
      </c>
      <c r="B106" s="3">
        <v>2.09</v>
      </c>
      <c r="C106" s="3">
        <v>4.2960000000000003</v>
      </c>
      <c r="D106" s="3">
        <v>9.1999999999999993</v>
      </c>
      <c r="E106" s="3"/>
      <c r="F106" s="3"/>
      <c r="G106" s="3">
        <v>3</v>
      </c>
      <c r="H106" s="3">
        <v>0</v>
      </c>
      <c r="I106" s="3">
        <v>1.552</v>
      </c>
      <c r="J106" s="3"/>
      <c r="K106" s="3"/>
      <c r="L106" s="3"/>
      <c r="M106" s="3">
        <v>3.0000000000000001E-3</v>
      </c>
      <c r="N106" s="3">
        <v>6.0000000000000001E-3</v>
      </c>
      <c r="O106" s="3">
        <v>1.2999999999999999E-2</v>
      </c>
      <c r="P106" s="3">
        <v>2E-3</v>
      </c>
      <c r="Q106" s="3">
        <v>2E-3</v>
      </c>
      <c r="R106" s="3">
        <v>2E-3</v>
      </c>
      <c r="S106" s="3">
        <f>+(B106+E106+F106+G106+H106+I106+J106+M106+P106)</f>
        <v>6.6469999999999994</v>
      </c>
      <c r="T106" s="3">
        <f>+(C106+E106+F106+G106+H106+I106+K106+N106+Q106)</f>
        <v>8.8560000000000016</v>
      </c>
      <c r="U106" s="3">
        <f>+(D106+E106+F106+G106+H106+I106+L106+O106+R106)</f>
        <v>13.766999999999999</v>
      </c>
    </row>
    <row r="107" spans="1:21" s="4" customFormat="1" ht="15" customHeight="1" x14ac:dyDescent="0.15">
      <c r="A107" s="2" t="s">
        <v>72</v>
      </c>
      <c r="B107" s="3">
        <f>2.09+0.849</f>
        <v>2.9390000000000001</v>
      </c>
      <c r="C107" s="3">
        <f>4.296+1.745</f>
        <v>6.0410000000000004</v>
      </c>
      <c r="D107" s="3">
        <f>9.2+3.737</f>
        <v>12.936999999999999</v>
      </c>
      <c r="E107" s="3"/>
      <c r="F107" s="3"/>
      <c r="G107" s="3">
        <v>2.3220000000000001</v>
      </c>
      <c r="H107" s="3">
        <v>0.15</v>
      </c>
      <c r="I107" s="3">
        <v>0.9</v>
      </c>
      <c r="J107" s="3"/>
      <c r="K107" s="3"/>
      <c r="L107" s="3"/>
      <c r="M107" s="3">
        <v>1E-3</v>
      </c>
      <c r="N107" s="3">
        <v>2E-3</v>
      </c>
      <c r="O107" s="3">
        <v>4.0000000000000001E-3</v>
      </c>
      <c r="P107" s="3"/>
      <c r="Q107" s="3"/>
      <c r="R107" s="3"/>
      <c r="S107" s="3">
        <f>+(B107+E107+F107+G107+H107+I107+J107+M107+P107)</f>
        <v>6.3120000000000012</v>
      </c>
      <c r="T107" s="3">
        <f>+(C107+E107+F107+G107+H107+I107+K107+N107+Q107)</f>
        <v>9.4150000000000009</v>
      </c>
      <c r="U107" s="3">
        <f>+(D107+E107+F107+G107+H107+I107+L107+O107+R107)</f>
        <v>16.313000000000002</v>
      </c>
    </row>
    <row r="108" spans="1:21" s="4" customFormat="1" ht="15" customHeight="1" x14ac:dyDescent="0.15">
      <c r="A108" s="2" t="s">
        <v>115</v>
      </c>
      <c r="B108" s="3">
        <f>2.09+0.289</f>
        <v>2.379</v>
      </c>
      <c r="C108" s="3">
        <f>4.296+0.594</f>
        <v>4.8900000000000006</v>
      </c>
      <c r="D108" s="3">
        <f>9.2+1.272</f>
        <v>10.472</v>
      </c>
      <c r="E108" s="3"/>
      <c r="F108" s="3"/>
      <c r="G108" s="3">
        <v>3</v>
      </c>
      <c r="H108" s="3">
        <v>0.3</v>
      </c>
      <c r="I108" s="3">
        <v>1.552</v>
      </c>
      <c r="J108" s="3"/>
      <c r="K108" s="3"/>
      <c r="L108" s="3"/>
      <c r="M108" s="3"/>
      <c r="N108" s="3"/>
      <c r="O108" s="3"/>
      <c r="P108" s="3"/>
      <c r="Q108" s="3"/>
      <c r="R108" s="3"/>
      <c r="S108" s="3">
        <f>+(B108+E108+F108+G108+H108+I108+J108+M108+P108)</f>
        <v>7.2309999999999999</v>
      </c>
      <c r="T108" s="3">
        <f>+(C108+E108+F108+G108+H108+I108+K108+N108+Q108)</f>
        <v>9.7420000000000009</v>
      </c>
      <c r="U108" s="3">
        <f>+(D108+E108+F108+G108+H108+I108+L108+O108+R108)</f>
        <v>15.324</v>
      </c>
    </row>
    <row r="109" spans="1:21" s="4" customFormat="1" ht="15" customHeight="1" x14ac:dyDescent="0.15">
      <c r="A109" s="2" t="s">
        <v>63</v>
      </c>
      <c r="B109" s="3">
        <v>2.09</v>
      </c>
      <c r="C109" s="3">
        <v>4.2960000000000003</v>
      </c>
      <c r="D109" s="3">
        <v>9.1999999999999993</v>
      </c>
      <c r="E109" s="3">
        <v>0.80300000000000005</v>
      </c>
      <c r="F109" s="3"/>
      <c r="G109" s="3">
        <v>2</v>
      </c>
      <c r="H109" s="3">
        <v>0.24099999999999999</v>
      </c>
      <c r="I109" s="3">
        <v>1.552</v>
      </c>
      <c r="J109" s="3"/>
      <c r="K109" s="3"/>
      <c r="L109" s="3"/>
      <c r="M109" s="3"/>
      <c r="N109" s="3"/>
      <c r="O109" s="3"/>
      <c r="P109" s="3"/>
      <c r="Q109" s="3"/>
      <c r="R109" s="3"/>
      <c r="S109" s="3">
        <f>+(B109+E109+F109+G109+H109+I109+J109+M109+P109)</f>
        <v>6.6859999999999999</v>
      </c>
      <c r="T109" s="3">
        <f>+(C109+E109+F109+G109+H109+I109+K109+N109+Q109)</f>
        <v>8.8919999999999995</v>
      </c>
      <c r="U109" s="3">
        <f>+(D109+E109+F109+G109+H109+I109+L109+O109+R109)</f>
        <v>13.795999999999999</v>
      </c>
    </row>
    <row r="110" spans="1:21" s="4" customFormat="1" ht="15" customHeight="1" x14ac:dyDescent="0.15">
      <c r="A110" s="2" t="s">
        <v>60</v>
      </c>
      <c r="B110" s="3">
        <v>2.09</v>
      </c>
      <c r="C110" s="3">
        <v>4.2960000000000003</v>
      </c>
      <c r="D110" s="3">
        <v>9.1999999999999993</v>
      </c>
      <c r="E110" s="3">
        <v>1.1519999999999999</v>
      </c>
      <c r="F110" s="3"/>
      <c r="G110" s="3">
        <v>3</v>
      </c>
      <c r="H110" s="3">
        <v>0.3</v>
      </c>
      <c r="I110" s="3">
        <v>1.4</v>
      </c>
      <c r="J110" s="3"/>
      <c r="K110" s="3"/>
      <c r="L110" s="3"/>
      <c r="M110" s="3">
        <v>2E-3</v>
      </c>
      <c r="N110" s="3">
        <v>4.0000000000000001E-3</v>
      </c>
      <c r="O110" s="3">
        <v>8.9999999999999993E-3</v>
      </c>
      <c r="P110" s="3"/>
      <c r="Q110" s="3"/>
      <c r="R110" s="3"/>
      <c r="S110" s="3">
        <f>+(B110+E110+F110+G110+H110+I110+J110+M110+P110)</f>
        <v>7.944</v>
      </c>
      <c r="T110" s="3">
        <f>+(C110+E110+F110+G110+H110+I110+K110+N110+Q110)</f>
        <v>10.152000000000001</v>
      </c>
      <c r="U110" s="3">
        <f>+(D110+E110+F110+G110+H110+I110+L110+O110+R110)</f>
        <v>15.061</v>
      </c>
    </row>
    <row r="111" spans="1:21" s="4" customFormat="1" ht="15" customHeight="1" x14ac:dyDescent="0.15">
      <c r="A111" s="2" t="s">
        <v>0</v>
      </c>
      <c r="B111" s="3">
        <v>2.09</v>
      </c>
      <c r="C111" s="3">
        <v>4.2960000000000003</v>
      </c>
      <c r="D111" s="3">
        <v>9.1999999999999993</v>
      </c>
      <c r="E111" s="3">
        <v>0.77500000000000002</v>
      </c>
      <c r="F111" s="3"/>
      <c r="G111" s="3">
        <v>0.70399999999999996</v>
      </c>
      <c r="H111" s="3">
        <v>0.28599999999999998</v>
      </c>
      <c r="I111" s="3">
        <v>1.552</v>
      </c>
      <c r="J111" s="3"/>
      <c r="K111" s="3"/>
      <c r="L111" s="3"/>
      <c r="M111" s="3"/>
      <c r="N111" s="3"/>
      <c r="O111" s="3"/>
      <c r="P111" s="3"/>
      <c r="Q111" s="3"/>
      <c r="R111" s="3"/>
      <c r="S111" s="3">
        <f>+(B111+E111+F111+G111+H111+I111+J111+M111+P111)</f>
        <v>5.407</v>
      </c>
      <c r="T111" s="3">
        <f>+(C111+E111+F111+G111+H111+I111+K111+N111+Q111)</f>
        <v>7.6129999999999995</v>
      </c>
      <c r="U111" s="3">
        <f>+(D111+E111+F111+G111+H111+I111+L111+O111+R111)</f>
        <v>12.516999999999999</v>
      </c>
    </row>
    <row r="112" spans="1:21" s="4" customFormat="1" ht="15" customHeight="1" x14ac:dyDescent="0.15">
      <c r="A112" s="2" t="s">
        <v>165</v>
      </c>
      <c r="B112" s="3">
        <v>2.09</v>
      </c>
      <c r="C112" s="3">
        <v>4.2960000000000003</v>
      </c>
      <c r="D112" s="3">
        <v>9.1999999999999993</v>
      </c>
      <c r="E112" s="3">
        <v>0.50900000000000001</v>
      </c>
      <c r="F112" s="3"/>
      <c r="G112" s="3">
        <v>2.484</v>
      </c>
      <c r="H112" s="3">
        <v>0.29299999999999998</v>
      </c>
      <c r="I112" s="3">
        <v>1.3</v>
      </c>
      <c r="J112" s="3"/>
      <c r="K112" s="3"/>
      <c r="L112" s="3"/>
      <c r="M112" s="3">
        <v>7.0000000000000001E-3</v>
      </c>
      <c r="N112" s="3">
        <v>1.4E-2</v>
      </c>
      <c r="O112" s="3">
        <v>3.1E-2</v>
      </c>
      <c r="P112" s="3">
        <v>2E-3</v>
      </c>
      <c r="Q112" s="3">
        <v>2E-3</v>
      </c>
      <c r="R112" s="3">
        <v>2E-3</v>
      </c>
      <c r="S112" s="3">
        <f>+(B112+E112+F112+G112+H112+I112+J112+M112+P112)</f>
        <v>6.6849999999999996</v>
      </c>
      <c r="T112" s="3">
        <f>+(C112+E112+F112+G112+H112+I112+K112+N112+Q112)</f>
        <v>8.8980000000000015</v>
      </c>
      <c r="U112" s="3">
        <f>+(D112+E112+F112+G112+H112+I112+L112+O112+R112)</f>
        <v>13.819000000000001</v>
      </c>
    </row>
    <row r="113" spans="1:21" s="4" customFormat="1" ht="15" customHeight="1" x14ac:dyDescent="0.15">
      <c r="A113" s="2" t="s">
        <v>99</v>
      </c>
      <c r="B113" s="3">
        <v>2.09</v>
      </c>
      <c r="C113" s="3">
        <v>4.2960000000000003</v>
      </c>
      <c r="D113" s="3">
        <v>9.1999999999999993</v>
      </c>
      <c r="E113" s="3"/>
      <c r="F113" s="3"/>
      <c r="G113" s="3">
        <v>3</v>
      </c>
      <c r="H113" s="3">
        <v>0.3</v>
      </c>
      <c r="I113" s="3">
        <v>1.552</v>
      </c>
      <c r="J113" s="3"/>
      <c r="K113" s="3"/>
      <c r="L113" s="3"/>
      <c r="M113" s="3">
        <v>0.08</v>
      </c>
      <c r="N113" s="3">
        <v>0.16400000000000001</v>
      </c>
      <c r="O113" s="3">
        <v>0.35199999999999998</v>
      </c>
      <c r="P113" s="3">
        <v>4.9000000000000002E-2</v>
      </c>
      <c r="Q113" s="3">
        <v>4.9000000000000002E-2</v>
      </c>
      <c r="R113" s="3">
        <v>4.9000000000000002E-2</v>
      </c>
      <c r="S113" s="3">
        <f>+(B113+E113+F113+G113+H113+I113+J113+M113+P113)</f>
        <v>7.0710000000000006</v>
      </c>
      <c r="T113" s="3">
        <f>+(C113+E113+F113+G113+H113+I113+K113+N113+Q113)</f>
        <v>9.3609999999999989</v>
      </c>
      <c r="U113" s="3">
        <f>+(D113+E113+F113+G113+H113+I113+L113+O113+R113)</f>
        <v>14.452999999999999</v>
      </c>
    </row>
    <row r="114" spans="1:21" s="4" customFormat="1" ht="15" customHeight="1" x14ac:dyDescent="0.15">
      <c r="A114" s="2" t="s">
        <v>110</v>
      </c>
      <c r="B114" s="3">
        <f>2.09+0.641</f>
        <v>2.7309999999999999</v>
      </c>
      <c r="C114" s="3">
        <f>4.296+1.318</f>
        <v>5.6140000000000008</v>
      </c>
      <c r="D114" s="3">
        <f>9.2+2.822</f>
        <v>12.021999999999998</v>
      </c>
      <c r="E114" s="3"/>
      <c r="F114" s="3"/>
      <c r="G114" s="3">
        <v>2.859</v>
      </c>
      <c r="H114" s="3">
        <v>0.28599999999999998</v>
      </c>
      <c r="I114" s="3">
        <v>1.2</v>
      </c>
      <c r="J114" s="3"/>
      <c r="K114" s="3"/>
      <c r="L114" s="3"/>
      <c r="M114" s="3"/>
      <c r="N114" s="3"/>
      <c r="O114" s="3"/>
      <c r="P114" s="3"/>
      <c r="Q114" s="3"/>
      <c r="R114" s="3"/>
      <c r="S114" s="3">
        <f>+(B114+E114+F114+G114+H114+I114+J114+M114+P114)</f>
        <v>7.0759999999999996</v>
      </c>
      <c r="T114" s="3">
        <f>+(C114+E114+F114+G114+H114+I114+K114+N114+Q114)</f>
        <v>9.9589999999999996</v>
      </c>
      <c r="U114" s="3">
        <f>+(D114+E114+F114+G114+H114+I114+L114+O114+R114)</f>
        <v>16.366999999999997</v>
      </c>
    </row>
    <row r="115" spans="1:21" s="4" customFormat="1" ht="15" customHeight="1" x14ac:dyDescent="0.15">
      <c r="A115" s="2" t="s">
        <v>104</v>
      </c>
      <c r="B115" s="3">
        <f>2.09+0.825</f>
        <v>2.915</v>
      </c>
      <c r="C115" s="3">
        <f>4.296+1.696</f>
        <v>5.992</v>
      </c>
      <c r="D115" s="3">
        <f>9.2+3.632</f>
        <v>12.831999999999999</v>
      </c>
      <c r="E115" s="3"/>
      <c r="F115" s="3"/>
      <c r="G115" s="3">
        <v>2.8650000000000002</v>
      </c>
      <c r="H115" s="3">
        <v>0.26100000000000001</v>
      </c>
      <c r="I115" s="3">
        <v>1.05</v>
      </c>
      <c r="J115" s="3"/>
      <c r="K115" s="3"/>
      <c r="L115" s="3"/>
      <c r="M115" s="3"/>
      <c r="N115" s="3"/>
      <c r="O115" s="3"/>
      <c r="P115" s="3"/>
      <c r="Q115" s="3"/>
      <c r="R115" s="3"/>
      <c r="S115" s="3">
        <f>+(B115+E115+F115+G115+H115+I115+J115+M115+P115)</f>
        <v>7.0910000000000002</v>
      </c>
      <c r="T115" s="3">
        <f>+(C115+E115+F115+G115+H115+I115+K115+N115+Q115)</f>
        <v>10.167999999999999</v>
      </c>
      <c r="U115" s="3">
        <f>+(D115+E115+F115+G115+H115+I115+L115+O115+R115)</f>
        <v>17.007999999999999</v>
      </c>
    </row>
    <row r="116" spans="1:21" s="4" customFormat="1" ht="15" customHeight="1" x14ac:dyDescent="0.15">
      <c r="A116" s="2" t="s">
        <v>71</v>
      </c>
      <c r="B116" s="3">
        <f>2.09+1.387</f>
        <v>3.4769999999999999</v>
      </c>
      <c r="C116" s="3">
        <f>4.296+2.851</f>
        <v>7.1470000000000002</v>
      </c>
      <c r="D116" s="3">
        <f>9.2+6.105</f>
        <v>15.305</v>
      </c>
      <c r="E116" s="3"/>
      <c r="F116" s="3"/>
      <c r="G116" s="3">
        <v>2.6139999999999999</v>
      </c>
      <c r="H116" s="3">
        <v>0.28199999999999997</v>
      </c>
      <c r="I116" s="3">
        <v>1.4</v>
      </c>
      <c r="J116" s="3"/>
      <c r="K116" s="3"/>
      <c r="L116" s="3"/>
      <c r="M116" s="3"/>
      <c r="N116" s="3"/>
      <c r="O116" s="3"/>
      <c r="P116" s="3"/>
      <c r="Q116" s="3"/>
      <c r="R116" s="3"/>
      <c r="S116" s="3">
        <f>+(B116+E116+F116+G116+H116+I116+J116+M116+P116)</f>
        <v>7.7729999999999997</v>
      </c>
      <c r="T116" s="3">
        <f>+(C116+E116+F116+G116+H116+I116+K116+N116+Q116)</f>
        <v>11.443</v>
      </c>
      <c r="U116" s="3">
        <f>+(D116+E116+F116+G116+H116+I116+L116+O116+R116)</f>
        <v>19.600999999999999</v>
      </c>
    </row>
    <row r="117" spans="1:21" s="4" customFormat="1" ht="15" customHeight="1" x14ac:dyDescent="0.15">
      <c r="A117" s="2" t="s">
        <v>131</v>
      </c>
      <c r="B117" s="3">
        <f>2.09+0.734</f>
        <v>2.8239999999999998</v>
      </c>
      <c r="C117" s="3">
        <f>4.296+1.509</f>
        <v>5.8049999999999997</v>
      </c>
      <c r="D117" s="3">
        <f>9.2+3.231</f>
        <v>12.430999999999999</v>
      </c>
      <c r="E117" s="3">
        <v>0.51700000000000002</v>
      </c>
      <c r="F117" s="3"/>
      <c r="G117" s="3">
        <v>1.282</v>
      </c>
      <c r="H117" s="3">
        <v>0.1</v>
      </c>
      <c r="I117" s="3">
        <v>0.05</v>
      </c>
      <c r="J117" s="3"/>
      <c r="K117" s="3"/>
      <c r="L117" s="3"/>
      <c r="M117" s="3">
        <v>2E-3</v>
      </c>
      <c r="N117" s="3">
        <v>4.0000000000000001E-3</v>
      </c>
      <c r="O117" s="3">
        <v>8.9999999999999993E-3</v>
      </c>
      <c r="P117" s="3"/>
      <c r="Q117" s="3"/>
      <c r="R117" s="3"/>
      <c r="S117" s="3">
        <f>+(B117+E117+F117+G117+H117+I117+J117+M117+P117)</f>
        <v>4.7749999999999986</v>
      </c>
      <c r="T117" s="3">
        <f>+(C117+E117+F117+G117+H117+I117+K117+N117+Q117)</f>
        <v>7.7579999999999991</v>
      </c>
      <c r="U117" s="3">
        <f>+(D117+E117+F117+G117+H117+I117+L117+O117+R117)</f>
        <v>14.388999999999999</v>
      </c>
    </row>
    <row r="118" spans="1:21" s="4" customFormat="1" ht="15" customHeight="1" x14ac:dyDescent="0.15">
      <c r="A118" s="2" t="s">
        <v>8</v>
      </c>
      <c r="B118" s="3">
        <f>2.09+0.201</f>
        <v>2.2909999999999999</v>
      </c>
      <c r="C118" s="3">
        <f>4.296+0.413</f>
        <v>4.7090000000000005</v>
      </c>
      <c r="D118" s="3">
        <f>9.2+0.885</f>
        <v>10.084999999999999</v>
      </c>
      <c r="E118" s="3"/>
      <c r="F118" s="3"/>
      <c r="G118" s="3">
        <v>2.1</v>
      </c>
      <c r="H118" s="3">
        <v>0.28599999999999998</v>
      </c>
      <c r="I118" s="3">
        <v>1.552</v>
      </c>
      <c r="J118" s="3"/>
      <c r="K118" s="3"/>
      <c r="L118" s="3"/>
      <c r="M118" s="3">
        <v>2E-3</v>
      </c>
      <c r="N118" s="3">
        <v>4.0000000000000001E-3</v>
      </c>
      <c r="O118" s="3">
        <v>8.9999999999999993E-3</v>
      </c>
      <c r="P118" s="3"/>
      <c r="Q118" s="3"/>
      <c r="R118" s="3"/>
      <c r="S118" s="3">
        <f>+(B118+E118+F118+G118+H118+I118+J118+M118+P118)</f>
        <v>6.230999999999999</v>
      </c>
      <c r="T118" s="3">
        <f>+(C118+E118+F118+G118+H118+I118+K118+N118+Q118)</f>
        <v>8.6509999999999998</v>
      </c>
      <c r="U118" s="3">
        <f>+(D118+E118+F118+G118+H118+I118+L118+O118+R118)</f>
        <v>14.031999999999998</v>
      </c>
    </row>
    <row r="119" spans="1:21" s="4" customFormat="1" ht="15" customHeight="1" x14ac:dyDescent="0.15">
      <c r="A119" s="2" t="s">
        <v>118</v>
      </c>
      <c r="B119" s="3">
        <v>2.09</v>
      </c>
      <c r="C119" s="3">
        <v>4.2960000000000003</v>
      </c>
      <c r="D119" s="3">
        <v>9.1999999999999993</v>
      </c>
      <c r="E119" s="3"/>
      <c r="F119" s="3"/>
      <c r="G119" s="3">
        <v>2.8330000000000002</v>
      </c>
      <c r="H119" s="3">
        <v>4.9000000000000002E-2</v>
      </c>
      <c r="I119" s="3">
        <v>0.81699999999999995</v>
      </c>
      <c r="J119" s="3"/>
      <c r="K119" s="3"/>
      <c r="L119" s="3"/>
      <c r="M119" s="3">
        <v>2E-3</v>
      </c>
      <c r="N119" s="3">
        <v>4.0000000000000001E-3</v>
      </c>
      <c r="O119" s="3">
        <v>8.9999999999999993E-3</v>
      </c>
      <c r="P119" s="3"/>
      <c r="Q119" s="3"/>
      <c r="R119" s="3"/>
      <c r="S119" s="3">
        <f>+(B119+E119+F119+G119+H119+I119+J119+M119+P119)</f>
        <v>5.7910000000000004</v>
      </c>
      <c r="T119" s="3">
        <f>+(C119+E119+F119+G119+H119+I119+K119+N119+Q119)</f>
        <v>7.9990000000000006</v>
      </c>
      <c r="U119" s="3">
        <f>+(D119+E119+F119+G119+H119+I119+L119+O119+R119)</f>
        <v>12.907999999999999</v>
      </c>
    </row>
    <row r="120" spans="1:21" s="4" customFormat="1" ht="15" customHeight="1" x14ac:dyDescent="0.15">
      <c r="A120" s="6" t="s">
        <v>126</v>
      </c>
      <c r="B120" s="3">
        <v>2.09</v>
      </c>
      <c r="C120" s="3">
        <v>4.2960000000000003</v>
      </c>
      <c r="D120" s="3">
        <v>9.1999999999999993</v>
      </c>
      <c r="E120" s="3"/>
      <c r="F120" s="3"/>
      <c r="G120" s="3">
        <v>3</v>
      </c>
      <c r="H120" s="3">
        <v>0.3</v>
      </c>
      <c r="I120" s="3">
        <v>1.4</v>
      </c>
      <c r="J120" s="3"/>
      <c r="K120" s="3"/>
      <c r="L120" s="3"/>
      <c r="M120" s="3">
        <v>1E-3</v>
      </c>
      <c r="N120" s="3">
        <v>2E-3</v>
      </c>
      <c r="O120" s="3">
        <v>4.0000000000000001E-3</v>
      </c>
      <c r="P120" s="3"/>
      <c r="Q120" s="3"/>
      <c r="R120" s="3"/>
      <c r="S120" s="3">
        <f>+(B120+E120+F120+G120+H120+I120+J120+M120+P120)</f>
        <v>6.7909999999999995</v>
      </c>
      <c r="T120" s="3">
        <f>+(C120+E120+F120+G120+H120+I120+K120+N120+Q120)</f>
        <v>8.9980000000000011</v>
      </c>
      <c r="U120" s="3">
        <f>+(D120+E120+F120+G120+H120+I120+L120+O120+R120)</f>
        <v>13.904</v>
      </c>
    </row>
    <row r="121" spans="1:21" s="4" customFormat="1" ht="15" customHeight="1" x14ac:dyDescent="0.15">
      <c r="A121" s="2" t="s">
        <v>93</v>
      </c>
      <c r="B121" s="3">
        <f>2.09+0.271</f>
        <v>2.3609999999999998</v>
      </c>
      <c r="C121" s="3">
        <f>4.296+0.557</f>
        <v>4.8530000000000006</v>
      </c>
      <c r="D121" s="3">
        <f>9.2+1.193</f>
        <v>10.392999999999999</v>
      </c>
      <c r="E121" s="3">
        <v>0.32900000000000001</v>
      </c>
      <c r="F121" s="3"/>
      <c r="G121" s="3">
        <v>2.0910000000000002</v>
      </c>
      <c r="H121" s="3">
        <v>0.3</v>
      </c>
      <c r="I121" s="3">
        <v>1.3520000000000001</v>
      </c>
      <c r="J121" s="3"/>
      <c r="K121" s="3"/>
      <c r="L121" s="3"/>
      <c r="M121" s="3">
        <v>4.0000000000000001E-3</v>
      </c>
      <c r="N121" s="3">
        <v>8.0000000000000002E-3</v>
      </c>
      <c r="O121" s="3">
        <v>1.7999999999999999E-2</v>
      </c>
      <c r="P121" s="3">
        <v>2E-3</v>
      </c>
      <c r="Q121" s="3">
        <v>2E-3</v>
      </c>
      <c r="R121" s="3">
        <v>2E-3</v>
      </c>
      <c r="S121" s="3">
        <f>+(B121+E121+F121+G121+H121+I121+J121+M121+P121)</f>
        <v>6.4390000000000001</v>
      </c>
      <c r="T121" s="3">
        <f>+(C121+E121+F121+G121+H121+I121+K121+N121+Q121)</f>
        <v>8.9350000000000005</v>
      </c>
      <c r="U121" s="3">
        <f>+(D121+E121+F121+G121+H121+I121+L121+O121+R121)</f>
        <v>14.485000000000001</v>
      </c>
    </row>
    <row r="122" spans="1:21" s="4" customFormat="1" ht="15" customHeight="1" x14ac:dyDescent="0.15">
      <c r="A122" s="2" t="s">
        <v>11</v>
      </c>
      <c r="B122" s="3">
        <f>2.09+0.536</f>
        <v>2.6259999999999999</v>
      </c>
      <c r="C122" s="3">
        <f>4.296+1.102</f>
        <v>5.3980000000000006</v>
      </c>
      <c r="D122" s="3">
        <f>9.2+2.359</f>
        <v>11.558999999999999</v>
      </c>
      <c r="E122" s="3"/>
      <c r="F122" s="3"/>
      <c r="G122" s="3">
        <v>3</v>
      </c>
      <c r="H122" s="3">
        <v>0.3</v>
      </c>
      <c r="I122" s="3">
        <v>1.552</v>
      </c>
      <c r="J122" s="3"/>
      <c r="K122" s="3"/>
      <c r="L122" s="3"/>
      <c r="M122" s="3">
        <v>4.0000000000000001E-3</v>
      </c>
      <c r="N122" s="3">
        <v>8.0000000000000002E-3</v>
      </c>
      <c r="O122" s="3">
        <v>1.7999999999999999E-2</v>
      </c>
      <c r="P122" s="3">
        <v>2E-3</v>
      </c>
      <c r="Q122" s="3">
        <v>2E-3</v>
      </c>
      <c r="R122" s="3">
        <v>2E-3</v>
      </c>
      <c r="S122" s="3">
        <f>+(B122+E122+F122+G122+H122+I122+J122+M122+P122)</f>
        <v>7.4839999999999991</v>
      </c>
      <c r="T122" s="3">
        <f>+(C122+E122+F122+G122+H122+I122+K122+N122+Q122)</f>
        <v>10.26</v>
      </c>
      <c r="U122" s="3">
        <f>+(D122+E122+F122+G122+H122+I122+L122+O122+R122)</f>
        <v>16.431000000000001</v>
      </c>
    </row>
    <row r="123" spans="1:21" s="4" customFormat="1" ht="15" customHeight="1" x14ac:dyDescent="0.15">
      <c r="A123" s="2" t="s">
        <v>107</v>
      </c>
      <c r="B123" s="3">
        <v>2.09</v>
      </c>
      <c r="C123" s="3">
        <v>4.2960000000000003</v>
      </c>
      <c r="D123" s="3">
        <v>9.1999999999999993</v>
      </c>
      <c r="E123" s="3"/>
      <c r="F123" s="3"/>
      <c r="G123" s="3">
        <v>1.65</v>
      </c>
      <c r="H123" s="3">
        <v>0</v>
      </c>
      <c r="I123" s="3">
        <v>1.552</v>
      </c>
      <c r="J123" s="3"/>
      <c r="K123" s="3"/>
      <c r="L123" s="3"/>
      <c r="M123" s="3">
        <v>8.0000000000000002E-3</v>
      </c>
      <c r="N123" s="3">
        <v>1.6E-2</v>
      </c>
      <c r="O123" s="3">
        <v>3.5000000000000003E-2</v>
      </c>
      <c r="P123" s="3">
        <v>2E-3</v>
      </c>
      <c r="Q123" s="3">
        <v>2E-3</v>
      </c>
      <c r="R123" s="3">
        <v>2E-3</v>
      </c>
      <c r="S123" s="3">
        <f>+(B123+E123+F123+G123+H123+I123+J123+M123+P123)</f>
        <v>5.3019999999999996</v>
      </c>
      <c r="T123" s="3">
        <f>+(C123+E123+F123+G123+H123+I123+K123+N123+Q123)</f>
        <v>7.5159999999999991</v>
      </c>
      <c r="U123" s="3">
        <f>+(D123+E123+F123+G123+H123+I123+L123+O123+R123)</f>
        <v>12.439</v>
      </c>
    </row>
    <row r="124" spans="1:21" s="4" customFormat="1" ht="15" customHeight="1" x14ac:dyDescent="0.15">
      <c r="A124" s="2" t="s">
        <v>30</v>
      </c>
      <c r="B124" s="3">
        <v>2.09</v>
      </c>
      <c r="C124" s="3">
        <v>4.2960000000000003</v>
      </c>
      <c r="D124" s="3">
        <v>9.1999999999999993</v>
      </c>
      <c r="E124" s="3"/>
      <c r="F124" s="3"/>
      <c r="G124" s="3">
        <v>2.7959999999999998</v>
      </c>
      <c r="H124" s="3">
        <v>0.28000000000000003</v>
      </c>
      <c r="I124" s="3">
        <v>1.552</v>
      </c>
      <c r="J124" s="3"/>
      <c r="K124" s="3"/>
      <c r="L124" s="3"/>
      <c r="M124" s="3">
        <v>2E-3</v>
      </c>
      <c r="N124" s="3">
        <v>4.0000000000000001E-3</v>
      </c>
      <c r="O124" s="3">
        <v>8.9999999999999993E-3</v>
      </c>
      <c r="P124" s="3"/>
      <c r="Q124" s="3"/>
      <c r="R124" s="3"/>
      <c r="S124" s="3">
        <f>+(B124+E124+F124+G124+H124+I124+J124+M124+P124)</f>
        <v>6.72</v>
      </c>
      <c r="T124" s="3">
        <f>+(C124+E124+F124+G124+H124+I124+K124+N124+Q124)</f>
        <v>8.9280000000000008</v>
      </c>
      <c r="U124" s="3">
        <f>+(D124+E124+F124+G124+H124+I124+L124+O124+R124)</f>
        <v>13.836999999999998</v>
      </c>
    </row>
    <row r="125" spans="1:21" s="4" customFormat="1" ht="15" customHeight="1" x14ac:dyDescent="0.15">
      <c r="A125" s="2" t="s">
        <v>135</v>
      </c>
      <c r="B125" s="3">
        <f>2.09+1.722</f>
        <v>3.8119999999999998</v>
      </c>
      <c r="C125" s="3">
        <f>4.296+3.54</f>
        <v>7.8360000000000003</v>
      </c>
      <c r="D125" s="3">
        <f>9.2+7.58</f>
        <v>16.78</v>
      </c>
      <c r="E125" s="3"/>
      <c r="F125" s="3"/>
      <c r="G125" s="3">
        <v>0</v>
      </c>
      <c r="H125" s="3">
        <v>0.3</v>
      </c>
      <c r="I125" s="3">
        <v>1.552</v>
      </c>
      <c r="J125" s="3"/>
      <c r="K125" s="3"/>
      <c r="L125" s="3"/>
      <c r="M125" s="3"/>
      <c r="N125" s="3"/>
      <c r="O125" s="3"/>
      <c r="P125" s="3"/>
      <c r="Q125" s="3"/>
      <c r="R125" s="3"/>
      <c r="S125" s="3">
        <f>+(B125+E125+F125+G125+H125+I125+J125+M125+P125)</f>
        <v>5.6639999999999997</v>
      </c>
      <c r="T125" s="3">
        <f>+(C125+E125+F125+G125+H125+I125+K125+N125+Q125)</f>
        <v>9.6880000000000006</v>
      </c>
      <c r="U125" s="3">
        <f>+(D125+E125+F125+G125+H125+I125+L125+O125+R125)</f>
        <v>18.632000000000001</v>
      </c>
    </row>
    <row r="126" spans="1:21" s="4" customFormat="1" ht="15" customHeight="1" x14ac:dyDescent="0.15">
      <c r="A126" s="2" t="s">
        <v>74</v>
      </c>
      <c r="B126" s="3">
        <v>2.09</v>
      </c>
      <c r="C126" s="3">
        <v>4.2960000000000003</v>
      </c>
      <c r="D126" s="3">
        <v>9.1999999999999993</v>
      </c>
      <c r="E126" s="3"/>
      <c r="F126" s="3"/>
      <c r="G126" s="3">
        <v>3</v>
      </c>
      <c r="H126" s="3">
        <v>0.3</v>
      </c>
      <c r="I126" s="3">
        <v>1.552</v>
      </c>
      <c r="J126" s="3"/>
      <c r="K126" s="3"/>
      <c r="L126" s="3"/>
      <c r="M126" s="3">
        <v>1E-3</v>
      </c>
      <c r="N126" s="3">
        <v>2E-3</v>
      </c>
      <c r="O126" s="3">
        <v>4.0000000000000001E-3</v>
      </c>
      <c r="P126" s="3">
        <v>1E-3</v>
      </c>
      <c r="Q126" s="3">
        <v>1E-3</v>
      </c>
      <c r="R126" s="3">
        <v>1E-3</v>
      </c>
      <c r="S126" s="3">
        <f>+(B126+E126+F126+G126+H126+I126+J126+M126+P126)</f>
        <v>6.9440000000000008</v>
      </c>
      <c r="T126" s="3">
        <f>+(C126+E126+F126+G126+H126+I126+K126+N126+Q126)</f>
        <v>9.1509999999999998</v>
      </c>
      <c r="U126" s="3">
        <f>+(D126+E126+F126+G126+H126+I126+L126+O126+R126)</f>
        <v>14.056999999999999</v>
      </c>
    </row>
    <row r="127" spans="1:21" s="4" customFormat="1" ht="15" customHeight="1" x14ac:dyDescent="0.15">
      <c r="A127" s="2" t="s">
        <v>111</v>
      </c>
      <c r="B127" s="3">
        <v>2.09</v>
      </c>
      <c r="C127" s="3">
        <v>4.2960000000000003</v>
      </c>
      <c r="D127" s="3">
        <v>9.1999999999999993</v>
      </c>
      <c r="E127" s="3"/>
      <c r="F127" s="3"/>
      <c r="G127" s="3">
        <v>2.77</v>
      </c>
      <c r="H127" s="3">
        <v>0.28599999999999998</v>
      </c>
      <c r="I127" s="3">
        <v>1.552</v>
      </c>
      <c r="J127" s="3"/>
      <c r="K127" s="3"/>
      <c r="L127" s="3"/>
      <c r="M127" s="3">
        <v>1E-3</v>
      </c>
      <c r="N127" s="3">
        <v>2E-3</v>
      </c>
      <c r="O127" s="3">
        <v>4.0000000000000001E-3</v>
      </c>
      <c r="P127" s="3"/>
      <c r="Q127" s="3"/>
      <c r="R127" s="3"/>
      <c r="S127" s="3">
        <f>+(B127+E127+F127+G127+H127+I127+J127+M127+P127)</f>
        <v>6.698999999999999</v>
      </c>
      <c r="T127" s="3">
        <f>+(C127+E127+F127+G127+H127+I127+K127+N127+Q127)</f>
        <v>8.9060000000000006</v>
      </c>
      <c r="U127" s="3">
        <f>+(D127+E127+F127+G127+H127+I127+L127+O127+R127)</f>
        <v>13.811999999999998</v>
      </c>
    </row>
    <row r="128" spans="1:21" s="4" customFormat="1" ht="15" customHeight="1" x14ac:dyDescent="0.15">
      <c r="A128" s="2" t="s">
        <v>1</v>
      </c>
      <c r="B128" s="3">
        <f>2.09+1.761</f>
        <v>3.851</v>
      </c>
      <c r="C128" s="3">
        <f>4.296+3.62</f>
        <v>7.9160000000000004</v>
      </c>
      <c r="D128" s="3">
        <f>9.2+7.752</f>
        <v>16.951999999999998</v>
      </c>
      <c r="E128" s="3"/>
      <c r="F128" s="3"/>
      <c r="G128" s="3">
        <v>1</v>
      </c>
      <c r="H128" s="3">
        <v>0.28699999999999998</v>
      </c>
      <c r="I128" s="3">
        <v>0.5</v>
      </c>
      <c r="J128" s="3"/>
      <c r="K128" s="3"/>
      <c r="L128" s="3"/>
      <c r="M128" s="3">
        <v>1E-3</v>
      </c>
      <c r="N128" s="3">
        <v>2E-3</v>
      </c>
      <c r="O128" s="3">
        <v>3.0000000000000001E-3</v>
      </c>
      <c r="P128" s="3"/>
      <c r="Q128" s="3"/>
      <c r="R128" s="3"/>
      <c r="S128" s="3">
        <f>+(B128+E128+F128+G128+H128+I128+J128+M128+P128)</f>
        <v>5.6390000000000002</v>
      </c>
      <c r="T128" s="3">
        <f>+(C128+E128+F128+G128+H128+I128+K128+N128+Q128)</f>
        <v>9.7050000000000018</v>
      </c>
      <c r="U128" s="3">
        <f>+(D128+E128+F128+G128+H128+I128+L128+O128+R128)</f>
        <v>18.741999999999997</v>
      </c>
    </row>
    <row r="129" spans="1:21" s="4" customFormat="1" ht="15" customHeight="1" x14ac:dyDescent="0.15">
      <c r="A129" s="2" t="s">
        <v>105</v>
      </c>
      <c r="B129" s="3">
        <f>2.09+1.59</f>
        <v>3.6799999999999997</v>
      </c>
      <c r="C129" s="3">
        <f>4.296+3.268</f>
        <v>7.5640000000000001</v>
      </c>
      <c r="D129" s="3">
        <f>9.2+6.999</f>
        <v>16.198999999999998</v>
      </c>
      <c r="E129" s="3"/>
      <c r="F129" s="3"/>
      <c r="G129" s="3">
        <v>2.911</v>
      </c>
      <c r="H129" s="3">
        <v>0.29099999999999998</v>
      </c>
      <c r="I129" s="3">
        <v>1.55</v>
      </c>
      <c r="J129" s="3"/>
      <c r="K129" s="3"/>
      <c r="L129" s="3"/>
      <c r="M129" s="3"/>
      <c r="N129" s="3"/>
      <c r="O129" s="3"/>
      <c r="P129" s="3"/>
      <c r="Q129" s="3"/>
      <c r="R129" s="3"/>
      <c r="S129" s="3">
        <f>+(B129+E129+F129+G129+H129+I129+J129+M129+P129)</f>
        <v>8.4320000000000004</v>
      </c>
      <c r="T129" s="3">
        <f>+(C129+E129+F129+G129+H129+I129+K129+N129+Q129)</f>
        <v>12.316000000000001</v>
      </c>
      <c r="U129" s="3">
        <f>+(D129+E129+F129+G129+H129+I129+L129+O129+R129)</f>
        <v>20.951000000000001</v>
      </c>
    </row>
    <row r="130" spans="1:21" s="4" customFormat="1" ht="15" customHeight="1" x14ac:dyDescent="0.15">
      <c r="A130" s="2" t="s">
        <v>127</v>
      </c>
      <c r="B130" s="3">
        <v>2.09</v>
      </c>
      <c r="C130" s="3">
        <v>4.2960000000000003</v>
      </c>
      <c r="D130" s="3">
        <v>9.1999999999999993</v>
      </c>
      <c r="E130" s="3">
        <v>2.09</v>
      </c>
      <c r="F130" s="3">
        <v>1.79</v>
      </c>
      <c r="G130" s="3">
        <v>2.4870000000000001</v>
      </c>
      <c r="H130" s="3">
        <v>0.3</v>
      </c>
      <c r="I130" s="3">
        <v>1.552</v>
      </c>
      <c r="J130" s="3"/>
      <c r="K130" s="3"/>
      <c r="L130" s="3"/>
      <c r="M130" s="3"/>
      <c r="N130" s="3"/>
      <c r="O130" s="3"/>
      <c r="P130" s="3"/>
      <c r="Q130" s="3"/>
      <c r="R130" s="3"/>
      <c r="S130" s="3">
        <f>+(B130+E130+F130+G130+H130+I130+J130+M130+P130)</f>
        <v>10.309000000000001</v>
      </c>
      <c r="T130" s="3">
        <f>+(C130+E130+F130+G130+H130+I130+K130+N130+Q130)</f>
        <v>12.515000000000001</v>
      </c>
      <c r="U130" s="3">
        <f>+(D130+E130+F130+G130+H130+I130+L130+O130+R130)</f>
        <v>17.419</v>
      </c>
    </row>
    <row r="131" spans="1:21" s="4" customFormat="1" ht="15" customHeight="1" x14ac:dyDescent="0.15">
      <c r="A131" s="2" t="s">
        <v>40</v>
      </c>
      <c r="B131" s="3">
        <f>2.09+1.359</f>
        <v>3.4489999999999998</v>
      </c>
      <c r="C131" s="3">
        <f>4.296+2.793</f>
        <v>7.0890000000000004</v>
      </c>
      <c r="D131" s="3">
        <f>9.2+5.982</f>
        <v>15.181999999999999</v>
      </c>
      <c r="E131" s="3"/>
      <c r="F131" s="3"/>
      <c r="G131" s="3">
        <v>0</v>
      </c>
      <c r="H131" s="3">
        <v>0</v>
      </c>
      <c r="I131" s="3">
        <v>1.552</v>
      </c>
      <c r="J131" s="3"/>
      <c r="K131" s="3"/>
      <c r="L131" s="3"/>
      <c r="M131" s="3"/>
      <c r="N131" s="3"/>
      <c r="O131" s="3"/>
      <c r="P131" s="3"/>
      <c r="Q131" s="3"/>
      <c r="R131" s="3"/>
      <c r="S131" s="3">
        <f>+(B131+E131+F131+G131+H131+I131+J131+M131+P131)</f>
        <v>5.0009999999999994</v>
      </c>
      <c r="T131" s="3">
        <f>+(C131+E131+F131+G131+H131+I131+K131+N131+Q131)</f>
        <v>8.641</v>
      </c>
      <c r="U131" s="3">
        <f>+(D131+E131+F131+G131+H131+I131+L131+O131+R131)</f>
        <v>16.733999999999998</v>
      </c>
    </row>
    <row r="132" spans="1:21" s="4" customFormat="1" ht="15" customHeight="1" x14ac:dyDescent="0.15">
      <c r="A132" s="2" t="s">
        <v>122</v>
      </c>
      <c r="B132" s="3">
        <v>2.09</v>
      </c>
      <c r="C132" s="3">
        <v>4.2960000000000003</v>
      </c>
      <c r="D132" s="3">
        <v>9.1999999999999993</v>
      </c>
      <c r="E132" s="3"/>
      <c r="F132" s="3"/>
      <c r="G132" s="3">
        <v>2.97</v>
      </c>
      <c r="H132" s="3">
        <v>0.29699999999999999</v>
      </c>
      <c r="I132" s="3">
        <v>1.552</v>
      </c>
      <c r="J132" s="3"/>
      <c r="K132" s="3"/>
      <c r="L132" s="3"/>
      <c r="M132" s="3">
        <v>3.0000000000000001E-3</v>
      </c>
      <c r="N132" s="3">
        <v>6.0000000000000001E-3</v>
      </c>
      <c r="O132" s="3">
        <v>1.2999999999999999E-2</v>
      </c>
      <c r="P132" s="3">
        <v>2E-3</v>
      </c>
      <c r="Q132" s="3">
        <v>2E-3</v>
      </c>
      <c r="R132" s="3">
        <v>2E-3</v>
      </c>
      <c r="S132" s="3">
        <f>+(B132+E132+F132+G132+H132+I132+J132+M132+P132)</f>
        <v>6.9140000000000006</v>
      </c>
      <c r="T132" s="3">
        <f>+(C132+E132+F132+G132+H132+I132+K132+N132+Q132)</f>
        <v>9.1230000000000011</v>
      </c>
      <c r="U132" s="3">
        <f>+(D132+E132+F132+G132+H132+I132+L132+O132+R132)</f>
        <v>14.034000000000001</v>
      </c>
    </row>
    <row r="133" spans="1:21" s="4" customFormat="1" ht="15" customHeight="1" x14ac:dyDescent="0.15">
      <c r="A133" s="2" t="s">
        <v>161</v>
      </c>
      <c r="B133" s="3">
        <f>2.09+0.78</f>
        <v>2.87</v>
      </c>
      <c r="C133" s="3">
        <f>4.296+1.603</f>
        <v>5.899</v>
      </c>
      <c r="D133" s="3">
        <f>9.2+3.433</f>
        <v>12.632999999999999</v>
      </c>
      <c r="E133" s="3"/>
      <c r="F133" s="3"/>
      <c r="G133" s="3">
        <v>3</v>
      </c>
      <c r="H133" s="3">
        <v>0.3</v>
      </c>
      <c r="I133" s="3">
        <v>1.552</v>
      </c>
      <c r="J133" s="3"/>
      <c r="K133" s="3"/>
      <c r="L133" s="3"/>
      <c r="M133" s="3">
        <v>5.0000000000000001E-3</v>
      </c>
      <c r="N133" s="3">
        <v>0.01</v>
      </c>
      <c r="O133" s="3">
        <v>2.1999999999999999E-2</v>
      </c>
      <c r="P133" s="3">
        <v>2E-3</v>
      </c>
      <c r="Q133" s="3">
        <v>2E-3</v>
      </c>
      <c r="R133" s="3">
        <v>2E-3</v>
      </c>
      <c r="S133" s="3">
        <f>+(B133+E133+F133+G133+H133+I133+J133+M133+P133)</f>
        <v>7.7289999999999992</v>
      </c>
      <c r="T133" s="3">
        <f>+(C133+E133+F133+G133+H133+I133+K133+N133+Q133)</f>
        <v>10.763000000000002</v>
      </c>
      <c r="U133" s="3">
        <f>+(D133+E133+F133+G133+H133+I133+L133+O133+R133)</f>
        <v>17.508999999999997</v>
      </c>
    </row>
    <row r="134" spans="1:21" s="4" customFormat="1" ht="15" customHeight="1" x14ac:dyDescent="0.15">
      <c r="A134" s="2" t="s">
        <v>64</v>
      </c>
      <c r="B134" s="3">
        <f>2.09+0.927</f>
        <v>3.0169999999999999</v>
      </c>
      <c r="C134" s="3">
        <f>4.296+1.905</f>
        <v>6.2010000000000005</v>
      </c>
      <c r="D134" s="3">
        <f>9.2+4.081</f>
        <v>13.280999999999999</v>
      </c>
      <c r="E134" s="3"/>
      <c r="F134" s="3"/>
      <c r="G134" s="3">
        <v>1.179</v>
      </c>
      <c r="H134" s="3">
        <v>0.28899999999999998</v>
      </c>
      <c r="I134" s="3">
        <v>1.552</v>
      </c>
      <c r="J134" s="3"/>
      <c r="K134" s="3"/>
      <c r="L134" s="3"/>
      <c r="M134" s="3"/>
      <c r="N134" s="3"/>
      <c r="O134" s="3"/>
      <c r="P134" s="3"/>
      <c r="Q134" s="3"/>
      <c r="R134" s="3"/>
      <c r="S134" s="3">
        <f>+(B134+E134+F134+G134+H134+I134+J134+M134+P134)</f>
        <v>6.036999999999999</v>
      </c>
      <c r="T134" s="3">
        <f>+(C134+E134+F134+G134+H134+I134+K134+N134+Q134)</f>
        <v>9.2210000000000001</v>
      </c>
      <c r="U134" s="3">
        <f>+(D134+E134+F134+G134+H134+I134+L134+O134+R134)</f>
        <v>16.300999999999998</v>
      </c>
    </row>
    <row r="135" spans="1:21" s="4" customFormat="1" ht="15" customHeight="1" x14ac:dyDescent="0.15">
      <c r="A135" s="2" t="s">
        <v>23</v>
      </c>
      <c r="B135" s="3">
        <f>2.09+0.586</f>
        <v>2.6759999999999997</v>
      </c>
      <c r="C135" s="3">
        <f>4.296+1.205</f>
        <v>5.5010000000000003</v>
      </c>
      <c r="D135" s="3">
        <f>9.2+2.58</f>
        <v>11.78</v>
      </c>
      <c r="E135" s="3">
        <v>0.47399999999999998</v>
      </c>
      <c r="F135" s="3"/>
      <c r="G135" s="3">
        <v>3</v>
      </c>
      <c r="H135" s="3">
        <v>0.3</v>
      </c>
      <c r="I135" s="3">
        <v>1.552</v>
      </c>
      <c r="J135" s="3"/>
      <c r="K135" s="3"/>
      <c r="L135" s="3"/>
      <c r="M135" s="3">
        <v>1E-3</v>
      </c>
      <c r="N135" s="3">
        <v>2E-3</v>
      </c>
      <c r="O135" s="3">
        <v>4.0000000000000001E-3</v>
      </c>
      <c r="P135" s="3"/>
      <c r="Q135" s="3"/>
      <c r="R135" s="3"/>
      <c r="S135" s="3">
        <f>+(B135+E135+F135+G135+H135+I135+J135+M135+P135)</f>
        <v>8.0029999999999983</v>
      </c>
      <c r="T135" s="3">
        <f>+(C135+E135+F135+G135+H135+I135+K135+N135+Q135)</f>
        <v>10.829000000000002</v>
      </c>
      <c r="U135" s="3">
        <f>+(D135+E135+F135+G135+H135+I135+L135+O135+R135)</f>
        <v>17.110000000000003</v>
      </c>
    </row>
    <row r="136" spans="1:21" s="4" customFormat="1" ht="15" customHeight="1" x14ac:dyDescent="0.15">
      <c r="A136" s="2" t="s">
        <v>137</v>
      </c>
      <c r="B136" s="3">
        <v>2.09</v>
      </c>
      <c r="C136" s="3">
        <v>4.2960000000000003</v>
      </c>
      <c r="D136" s="3">
        <v>9.1999999999999993</v>
      </c>
      <c r="E136" s="3">
        <f>1.085+0.591</f>
        <v>1.6759999999999999</v>
      </c>
      <c r="F136" s="3">
        <v>2.2000000000000002</v>
      </c>
      <c r="G136" s="3">
        <v>1.5</v>
      </c>
      <c r="H136" s="3">
        <v>0.3</v>
      </c>
      <c r="I136" s="3">
        <v>1.552</v>
      </c>
      <c r="J136" s="3"/>
      <c r="K136" s="3"/>
      <c r="L136" s="3"/>
      <c r="M136" s="3">
        <v>1E-3</v>
      </c>
      <c r="N136" s="3">
        <v>2E-3</v>
      </c>
      <c r="O136" s="3">
        <v>4.0000000000000001E-3</v>
      </c>
      <c r="P136" s="3">
        <v>1E-3</v>
      </c>
      <c r="Q136" s="3">
        <v>1E-3</v>
      </c>
      <c r="R136" s="3">
        <v>1E-3</v>
      </c>
      <c r="S136" s="3">
        <f>+(B136+E136+F136+G136+H136+I136+J136+M136+P136)</f>
        <v>9.3199999999999985</v>
      </c>
      <c r="T136" s="3">
        <f>+(C136+E136+F136+G136+H136+I136+K136+N136+Q136)</f>
        <v>11.527000000000001</v>
      </c>
      <c r="U136" s="3">
        <f>+(D136+E136+F136+G136+H136+I136+L136+O136+R136)</f>
        <v>16.433000000000003</v>
      </c>
    </row>
    <row r="137" spans="1:21" s="4" customFormat="1" ht="15" customHeight="1" x14ac:dyDescent="0.15">
      <c r="A137" s="2" t="s">
        <v>20</v>
      </c>
      <c r="B137" s="3">
        <f>2.09+0.764</f>
        <v>2.8540000000000001</v>
      </c>
      <c r="C137" s="3">
        <f>4.296+1.57</f>
        <v>5.8660000000000005</v>
      </c>
      <c r="D137" s="3">
        <f>9.2+3.363</f>
        <v>12.562999999999999</v>
      </c>
      <c r="E137" s="3"/>
      <c r="F137" s="3"/>
      <c r="G137" s="3">
        <v>0</v>
      </c>
      <c r="H137" s="3">
        <v>0.29899999999999999</v>
      </c>
      <c r="I137" s="3">
        <v>1.552</v>
      </c>
      <c r="J137" s="3"/>
      <c r="K137" s="3"/>
      <c r="L137" s="3"/>
      <c r="M137" s="3">
        <v>1E-3</v>
      </c>
      <c r="N137" s="3">
        <v>2E-3</v>
      </c>
      <c r="O137" s="3">
        <v>4.0000000000000001E-3</v>
      </c>
      <c r="P137" s="3"/>
      <c r="Q137" s="3"/>
      <c r="R137" s="3"/>
      <c r="S137" s="3">
        <f>+(B137+E137+F137+G137+H137+I137+J137+M137+P137)</f>
        <v>4.7060000000000004</v>
      </c>
      <c r="T137" s="3">
        <f>+(C137+E137+F137+G137+H137+I137+K137+N137+Q137)</f>
        <v>7.7190000000000003</v>
      </c>
      <c r="U137" s="3">
        <f>+(D137+E137+F137+G137+H137+I137+L137+O137+R137)</f>
        <v>14.417999999999997</v>
      </c>
    </row>
    <row r="138" spans="1:21" s="4" customFormat="1" ht="15" customHeight="1" x14ac:dyDescent="0.15">
      <c r="A138" s="2" t="s">
        <v>100</v>
      </c>
      <c r="B138" s="3">
        <v>2.09</v>
      </c>
      <c r="C138" s="3">
        <v>4.2960000000000003</v>
      </c>
      <c r="D138" s="3">
        <v>9.1999999999999993</v>
      </c>
      <c r="E138" s="3"/>
      <c r="F138" s="3"/>
      <c r="G138" s="3">
        <v>2</v>
      </c>
      <c r="H138" s="3">
        <v>0</v>
      </c>
      <c r="I138" s="3">
        <v>1.4</v>
      </c>
      <c r="J138" s="3"/>
      <c r="K138" s="3"/>
      <c r="L138" s="3"/>
      <c r="M138" s="3">
        <v>7.0000000000000001E-3</v>
      </c>
      <c r="N138" s="3">
        <v>1.4E-2</v>
      </c>
      <c r="O138" s="3">
        <v>3.1E-2</v>
      </c>
      <c r="P138" s="3">
        <v>3.0000000000000001E-3</v>
      </c>
      <c r="Q138" s="3">
        <v>3.0000000000000001E-3</v>
      </c>
      <c r="R138" s="3">
        <v>3.0000000000000001E-3</v>
      </c>
      <c r="S138" s="3">
        <f>+(B138+E138+F138+G138+H138+I138+J138+M138+P138)</f>
        <v>5.5</v>
      </c>
      <c r="T138" s="3">
        <f>+(C138+E138+F138+G138+H138+I138+K138+N138+Q138)</f>
        <v>7.7130000000000001</v>
      </c>
      <c r="U138" s="3">
        <f>+(D138+E138+F138+G138+H138+I138+L138+O138+R138)</f>
        <v>12.634</v>
      </c>
    </row>
    <row r="139" spans="1:21" s="4" customFormat="1" ht="15" customHeight="1" x14ac:dyDescent="0.15">
      <c r="A139" s="2" t="s">
        <v>13</v>
      </c>
      <c r="B139" s="3">
        <v>2.09</v>
      </c>
      <c r="C139" s="3">
        <v>4.2960000000000003</v>
      </c>
      <c r="D139" s="3">
        <v>9.1999999999999993</v>
      </c>
      <c r="E139" s="3">
        <v>1.5820000000000001</v>
      </c>
      <c r="F139" s="3"/>
      <c r="G139" s="3">
        <v>2</v>
      </c>
      <c r="H139" s="3">
        <v>0</v>
      </c>
      <c r="I139" s="3">
        <v>0.85</v>
      </c>
      <c r="J139" s="3"/>
      <c r="K139" s="3"/>
      <c r="L139" s="3"/>
      <c r="M139" s="3"/>
      <c r="N139" s="3"/>
      <c r="O139" s="3"/>
      <c r="P139" s="3"/>
      <c r="Q139" s="3"/>
      <c r="R139" s="3"/>
      <c r="S139" s="3">
        <f>+(B139+E139+F139+G139+H139+I139+J139+M139+P139)</f>
        <v>6.5219999999999994</v>
      </c>
      <c r="T139" s="3">
        <f>+(C139+E139+F139+G139+H139+I139+K139+N139+Q139)</f>
        <v>8.7279999999999998</v>
      </c>
      <c r="U139" s="3">
        <f>+(D139+E139+F139+G139+H139+I139+L139+O139+R139)</f>
        <v>13.632</v>
      </c>
    </row>
    <row r="140" spans="1:21" s="4" customFormat="1" ht="15" customHeight="1" x14ac:dyDescent="0.15">
      <c r="A140" s="2" t="s">
        <v>26</v>
      </c>
      <c r="B140" s="3">
        <v>2.09</v>
      </c>
      <c r="C140" s="3">
        <v>4.2960000000000003</v>
      </c>
      <c r="D140" s="3">
        <v>9.1999999999999993</v>
      </c>
      <c r="E140" s="3"/>
      <c r="F140" s="3"/>
      <c r="G140" s="3">
        <v>3</v>
      </c>
      <c r="H140" s="3">
        <v>0.3</v>
      </c>
      <c r="I140" s="3">
        <v>1.552</v>
      </c>
      <c r="J140" s="3"/>
      <c r="K140" s="3"/>
      <c r="L140" s="3"/>
      <c r="M140" s="3">
        <v>6.0000000000000001E-3</v>
      </c>
      <c r="N140" s="3">
        <v>1.2E-2</v>
      </c>
      <c r="O140" s="3">
        <v>2.5999999999999999E-2</v>
      </c>
      <c r="P140" s="3">
        <v>3.0000000000000001E-3</v>
      </c>
      <c r="Q140" s="3">
        <v>3.0000000000000001E-3</v>
      </c>
      <c r="R140" s="3">
        <v>3.0000000000000001E-3</v>
      </c>
      <c r="S140" s="3">
        <f>+(B140+E140+F140+G140+H140+I140+J140+M140+P140)</f>
        <v>6.9510000000000005</v>
      </c>
      <c r="T140" s="3">
        <f>+(C140+E140+F140+G140+H140+I140+K140+N140+Q140)</f>
        <v>9.1630000000000003</v>
      </c>
      <c r="U140" s="3">
        <f>+(D140+E140+F140+G140+H140+I140+L140+O140+R140)</f>
        <v>14.081</v>
      </c>
    </row>
    <row r="141" spans="1:21" s="4" customFormat="1" ht="15" customHeight="1" x14ac:dyDescent="0.15">
      <c r="A141" s="2" t="s">
        <v>36</v>
      </c>
      <c r="B141" s="3">
        <v>2.09</v>
      </c>
      <c r="C141" s="3">
        <v>4.2960000000000003</v>
      </c>
      <c r="D141" s="3">
        <v>9.1999999999999993</v>
      </c>
      <c r="E141" s="3"/>
      <c r="F141" s="3"/>
      <c r="G141" s="3">
        <v>2.5</v>
      </c>
      <c r="H141" s="3">
        <v>0</v>
      </c>
      <c r="I141" s="3">
        <v>1.552</v>
      </c>
      <c r="J141" s="3"/>
      <c r="K141" s="3"/>
      <c r="L141" s="3"/>
      <c r="M141" s="3">
        <v>6.0000000000000001E-3</v>
      </c>
      <c r="N141" s="3">
        <v>1.2E-2</v>
      </c>
      <c r="O141" s="3">
        <v>2.5999999999999999E-2</v>
      </c>
      <c r="P141" s="3">
        <v>4.0000000000000001E-3</v>
      </c>
      <c r="Q141" s="3">
        <v>4.0000000000000001E-3</v>
      </c>
      <c r="R141" s="3">
        <v>4.0000000000000001E-3</v>
      </c>
      <c r="S141" s="3">
        <f>+(B141+E141+F141+G141+H141+I141+J141+M141+P141)</f>
        <v>6.1519999999999992</v>
      </c>
      <c r="T141" s="3">
        <f>+(C141+E141+F141+G141+H141+I141+K141+N141+Q141)</f>
        <v>8.3640000000000008</v>
      </c>
      <c r="U141" s="3">
        <f>+(D141+E141+F141+G141+H141+I141+L141+O141+R141)</f>
        <v>13.281999999999998</v>
      </c>
    </row>
    <row r="142" spans="1:21" s="4" customFormat="1" ht="15" customHeight="1" x14ac:dyDescent="0.15">
      <c r="A142" s="2" t="s">
        <v>27</v>
      </c>
      <c r="B142" s="3">
        <f>2.09+0.915</f>
        <v>3.0049999999999999</v>
      </c>
      <c r="C142" s="3">
        <f>4.296+1.881</f>
        <v>6.1770000000000005</v>
      </c>
      <c r="D142" s="3">
        <f>9.2+4.028</f>
        <v>13.227999999999998</v>
      </c>
      <c r="E142" s="3"/>
      <c r="F142" s="3"/>
      <c r="G142" s="3">
        <v>3</v>
      </c>
      <c r="H142" s="3">
        <v>0.14000000000000001</v>
      </c>
      <c r="I142" s="3">
        <v>1.2</v>
      </c>
      <c r="J142" s="3"/>
      <c r="K142" s="3"/>
      <c r="L142" s="3"/>
      <c r="M142" s="3">
        <v>1E-3</v>
      </c>
      <c r="N142" s="3">
        <v>2E-3</v>
      </c>
      <c r="O142" s="3">
        <v>4.0000000000000001E-3</v>
      </c>
      <c r="P142" s="3"/>
      <c r="Q142" s="3"/>
      <c r="R142" s="3"/>
      <c r="S142" s="3">
        <f>+(B142+E142+F142+G142+H142+I142+J142+M142+P142)</f>
        <v>7.3460000000000001</v>
      </c>
      <c r="T142" s="3">
        <f>+(C142+E142+F142+G142+H142+I142+K142+N142+Q142)</f>
        <v>10.519</v>
      </c>
      <c r="U142" s="3">
        <f>+(D142+E142+F142+G142+H142+I142+L142+O142+R142)</f>
        <v>17.571999999999999</v>
      </c>
    </row>
    <row r="143" spans="1:21" s="4" customFormat="1" ht="15" customHeight="1" x14ac:dyDescent="0.15">
      <c r="A143" s="2" t="s">
        <v>37</v>
      </c>
      <c r="B143" s="3">
        <v>2.09</v>
      </c>
      <c r="C143" s="3">
        <v>4.2960000000000003</v>
      </c>
      <c r="D143" s="3">
        <v>9.1999999999999993</v>
      </c>
      <c r="E143" s="3">
        <v>0.218</v>
      </c>
      <c r="F143" s="3">
        <v>0.49099999999999999</v>
      </c>
      <c r="G143" s="3">
        <v>1.974</v>
      </c>
      <c r="H143" s="3">
        <v>0.3</v>
      </c>
      <c r="I143" s="3">
        <v>1.552</v>
      </c>
      <c r="J143" s="3"/>
      <c r="K143" s="3"/>
      <c r="L143" s="3"/>
      <c r="M143" s="3">
        <v>7.0000000000000001E-3</v>
      </c>
      <c r="N143" s="3">
        <v>1.4E-2</v>
      </c>
      <c r="O143" s="3">
        <v>3.1E-2</v>
      </c>
      <c r="P143" s="3">
        <v>2E-3</v>
      </c>
      <c r="Q143" s="3">
        <v>2E-3</v>
      </c>
      <c r="R143" s="3">
        <v>2E-3</v>
      </c>
      <c r="S143" s="3">
        <f>+(B143+E143+F143+G143+H143+I143+J143+M143+P143)</f>
        <v>6.6339999999999995</v>
      </c>
      <c r="T143" s="3">
        <f>+(C143+E143+F143+G143+H143+I143+K143+N143+Q143)</f>
        <v>8.8469999999999995</v>
      </c>
      <c r="U143" s="3">
        <f>+(D143+E143+F143+G143+H143+I143+L143+O143+R143)</f>
        <v>13.768000000000001</v>
      </c>
    </row>
    <row r="144" spans="1:21" s="4" customFormat="1" ht="15" customHeight="1" x14ac:dyDescent="0.15">
      <c r="A144" s="2" t="s">
        <v>65</v>
      </c>
      <c r="B144" s="3">
        <f>2.09+0.415</f>
        <v>2.5049999999999999</v>
      </c>
      <c r="C144" s="3">
        <f>4.296+0.853</f>
        <v>5.149</v>
      </c>
      <c r="D144" s="3">
        <f>9.2+1.827</f>
        <v>11.026999999999999</v>
      </c>
      <c r="E144" s="3"/>
      <c r="F144" s="3"/>
      <c r="G144" s="3">
        <v>2.4279999999999999</v>
      </c>
      <c r="H144" s="3">
        <v>0.17</v>
      </c>
      <c r="I144" s="3">
        <v>0.9</v>
      </c>
      <c r="J144" s="3"/>
      <c r="K144" s="3"/>
      <c r="L144" s="3"/>
      <c r="M144" s="3"/>
      <c r="N144" s="3"/>
      <c r="O144" s="3"/>
      <c r="P144" s="3"/>
      <c r="Q144" s="3"/>
      <c r="R144" s="3"/>
      <c r="S144" s="3">
        <f>+(B144+E144+F144+G144+H144+I144+J144+M144+P144)</f>
        <v>6.0030000000000001</v>
      </c>
      <c r="T144" s="3">
        <f>+(C144+E144+F144+G144+H144+I144+K144+N144+Q144)</f>
        <v>8.6470000000000002</v>
      </c>
      <c r="U144" s="3">
        <f>+(D144+E144+F144+G144+H144+I144+L144+O144+R144)</f>
        <v>14.524999999999999</v>
      </c>
    </row>
    <row r="145" spans="1:114" s="4" customFormat="1" ht="15" customHeight="1" x14ac:dyDescent="0.15">
      <c r="A145" s="2" t="s">
        <v>94</v>
      </c>
      <c r="B145" s="3">
        <v>2.09</v>
      </c>
      <c r="C145" s="3">
        <v>4.2960000000000003</v>
      </c>
      <c r="D145" s="3">
        <v>9.1999999999999993</v>
      </c>
      <c r="E145" s="3">
        <v>1.9670000000000001</v>
      </c>
      <c r="F145" s="3"/>
      <c r="G145" s="3">
        <v>3</v>
      </c>
      <c r="H145" s="3">
        <v>0.3</v>
      </c>
      <c r="I145" s="3">
        <v>1.4</v>
      </c>
      <c r="J145" s="3"/>
      <c r="K145" s="3"/>
      <c r="L145" s="3"/>
      <c r="M145" s="3">
        <v>8.9999999999999993E-3</v>
      </c>
      <c r="N145" s="3">
        <v>1.7999999999999999E-2</v>
      </c>
      <c r="O145" s="3">
        <v>0.04</v>
      </c>
      <c r="P145" s="3">
        <v>3.0000000000000001E-3</v>
      </c>
      <c r="Q145" s="3">
        <v>3.0000000000000001E-3</v>
      </c>
      <c r="R145" s="3">
        <v>3.0000000000000001E-3</v>
      </c>
      <c r="S145" s="3">
        <f>+(B145+E145+F145+G145+H145+I145+J145+M145+P145)</f>
        <v>8.7690000000000001</v>
      </c>
      <c r="T145" s="3">
        <f>+(C145+E145+F145+G145+H145+I145+K145+N145+Q145)</f>
        <v>10.984000000000002</v>
      </c>
      <c r="U145" s="3">
        <f>+(D145+E145+F145+G145+H145+I145+L145+O145+R145)</f>
        <v>15.91</v>
      </c>
    </row>
    <row r="146" spans="1:114" s="4" customFormat="1" ht="15" customHeight="1" x14ac:dyDescent="0.15">
      <c r="A146" s="2" t="s">
        <v>2</v>
      </c>
      <c r="B146" s="3">
        <f>2.09+1.092</f>
        <v>3.1819999999999999</v>
      </c>
      <c r="C146" s="3">
        <f>4.296+2.245</f>
        <v>6.5410000000000004</v>
      </c>
      <c r="D146" s="3">
        <f>9.2+4.807</f>
        <v>14.007</v>
      </c>
      <c r="E146" s="3"/>
      <c r="F146" s="3"/>
      <c r="G146" s="3">
        <v>1.5</v>
      </c>
      <c r="H146" s="3">
        <v>0.28399999999999997</v>
      </c>
      <c r="I146" s="3">
        <v>0.75</v>
      </c>
      <c r="J146" s="3"/>
      <c r="K146" s="3"/>
      <c r="L146" s="3"/>
      <c r="M146" s="3"/>
      <c r="N146" s="3"/>
      <c r="O146" s="3"/>
      <c r="P146" s="3"/>
      <c r="Q146" s="3"/>
      <c r="R146" s="3"/>
      <c r="S146" s="3">
        <f>+(B146+E146+F146+G146+H146+I146+J146+M146+P146)</f>
        <v>5.7160000000000002</v>
      </c>
      <c r="T146" s="3">
        <f>+(C146+E146+F146+G146+H146+I146+K146+N146+Q146)</f>
        <v>9.0750000000000011</v>
      </c>
      <c r="U146" s="3">
        <f>+(D146+E146+F146+G146+H146+I146+L146+O146+R146)</f>
        <v>16.541</v>
      </c>
    </row>
    <row r="147" spans="1:114" s="4" customFormat="1" ht="15" customHeight="1" x14ac:dyDescent="0.15">
      <c r="A147" s="2" t="s">
        <v>87</v>
      </c>
      <c r="B147" s="3">
        <v>2.09</v>
      </c>
      <c r="C147" s="3">
        <v>4.2960000000000003</v>
      </c>
      <c r="D147" s="3">
        <v>9.1999999999999993</v>
      </c>
      <c r="E147" s="3"/>
      <c r="F147" s="3"/>
      <c r="G147" s="3">
        <v>1.5</v>
      </c>
      <c r="H147" s="3">
        <v>0.3</v>
      </c>
      <c r="I147" s="3">
        <v>1.552</v>
      </c>
      <c r="J147" s="3"/>
      <c r="K147" s="3"/>
      <c r="L147" s="3"/>
      <c r="M147" s="3">
        <v>0.188</v>
      </c>
      <c r="N147" s="3">
        <v>0.38600000000000001</v>
      </c>
      <c r="O147" s="3">
        <v>0.82799999999999996</v>
      </c>
      <c r="P147" s="3">
        <v>0.13500000000000001</v>
      </c>
      <c r="Q147" s="3">
        <v>0.13500000000000001</v>
      </c>
      <c r="R147" s="3">
        <v>0.13500000000000001</v>
      </c>
      <c r="S147" s="3">
        <f>+(B147+E147+F147+G147+H147+I147+J147+M147+P147)</f>
        <v>5.7649999999999997</v>
      </c>
      <c r="T147" s="3">
        <f>+(C147+E147+F147+G147+H147+I147+K147+N147+Q147)</f>
        <v>8.1689999999999987</v>
      </c>
      <c r="U147" s="3">
        <f>+(D147+E147+F147+G147+H147+I147+L147+O147+R147)</f>
        <v>13.514999999999999</v>
      </c>
    </row>
    <row r="148" spans="1:114" s="4" customFormat="1" ht="15" customHeight="1" x14ac:dyDescent="0.15">
      <c r="A148" s="2" t="s">
        <v>22</v>
      </c>
      <c r="B148" s="3">
        <f>2.09+0.465</f>
        <v>2.5549999999999997</v>
      </c>
      <c r="C148" s="3">
        <f>4.296+0.956</f>
        <v>5.2520000000000007</v>
      </c>
      <c r="D148" s="3">
        <f>9.2+2.047</f>
        <v>11.247</v>
      </c>
      <c r="E148" s="3"/>
      <c r="F148" s="3"/>
      <c r="G148" s="3">
        <v>2</v>
      </c>
      <c r="H148" s="3">
        <v>0.27500000000000002</v>
      </c>
      <c r="I148" s="3">
        <v>1.25</v>
      </c>
      <c r="J148" s="3"/>
      <c r="K148" s="3"/>
      <c r="L148" s="3"/>
      <c r="M148" s="3">
        <v>1E-3</v>
      </c>
      <c r="N148" s="3">
        <v>2E-3</v>
      </c>
      <c r="O148" s="3">
        <v>4.0000000000000001E-3</v>
      </c>
      <c r="P148" s="3"/>
      <c r="Q148" s="3"/>
      <c r="R148" s="3"/>
      <c r="S148" s="3">
        <f>+(B148+E148+F148+G148+H148+I148+J148+M148+P148)</f>
        <v>6.0810000000000004</v>
      </c>
      <c r="T148" s="3">
        <f>+(C148+E148+F148+G148+H148+I148+K148+N148+Q148)</f>
        <v>8.7790000000000017</v>
      </c>
      <c r="U148" s="3">
        <f>+(D148+E148+F148+G148+H148+I148+L148+O148+R148)</f>
        <v>14.776</v>
      </c>
    </row>
    <row r="149" spans="1:114" s="4" customFormat="1" ht="15" customHeight="1" x14ac:dyDescent="0.15">
      <c r="A149" s="2" t="s">
        <v>106</v>
      </c>
      <c r="B149" s="3">
        <v>2.09</v>
      </c>
      <c r="C149" s="3">
        <v>4.2960000000000003</v>
      </c>
      <c r="D149" s="3">
        <v>9.1999999999999993</v>
      </c>
      <c r="E149" s="3">
        <v>0.70599999999999996</v>
      </c>
      <c r="F149" s="3"/>
      <c r="G149" s="3">
        <v>1.73</v>
      </c>
      <c r="H149" s="3">
        <v>0.3</v>
      </c>
      <c r="I149" s="3">
        <v>1.55</v>
      </c>
      <c r="J149" s="3"/>
      <c r="K149" s="3"/>
      <c r="L149" s="3"/>
      <c r="M149" s="3"/>
      <c r="N149" s="3"/>
      <c r="O149" s="3"/>
      <c r="P149" s="3"/>
      <c r="Q149" s="3"/>
      <c r="R149" s="3"/>
      <c r="S149" s="3">
        <f>+(B149+E149+F149+G149+H149+I149+J149+M149+P149)</f>
        <v>6.3759999999999994</v>
      </c>
      <c r="T149" s="3">
        <f>+(C149+E149+F149+G149+H149+I149+K149+N149+Q149)</f>
        <v>8.5820000000000007</v>
      </c>
      <c r="U149" s="3">
        <f>+(D149+E149+F149+G149+H149+I149+L149+O149+R149)</f>
        <v>13.486000000000001</v>
      </c>
    </row>
    <row r="150" spans="1:114" s="4" customFormat="1" ht="15" customHeight="1" x14ac:dyDescent="0.15">
      <c r="A150" s="2" t="s">
        <v>112</v>
      </c>
      <c r="B150" s="3">
        <v>2.09</v>
      </c>
      <c r="C150" s="3">
        <v>4.2960000000000003</v>
      </c>
      <c r="D150" s="3">
        <v>9.1999999999999993</v>
      </c>
      <c r="E150" s="3"/>
      <c r="F150" s="3"/>
      <c r="G150" s="3">
        <v>2.5099999999999998</v>
      </c>
      <c r="H150" s="3">
        <v>0.3</v>
      </c>
      <c r="I150" s="3">
        <v>1.552</v>
      </c>
      <c r="J150" s="3"/>
      <c r="K150" s="3"/>
      <c r="L150" s="3"/>
      <c r="M150" s="3">
        <v>8.0000000000000002E-3</v>
      </c>
      <c r="N150" s="3">
        <v>1.6E-2</v>
      </c>
      <c r="O150" s="3">
        <v>3.5000000000000003E-2</v>
      </c>
      <c r="P150" s="3">
        <v>2E-3</v>
      </c>
      <c r="Q150" s="3">
        <v>2E-3</v>
      </c>
      <c r="R150" s="3">
        <v>2E-3</v>
      </c>
      <c r="S150" s="3">
        <f>+(B150+E150+F150+G150+H150+I150+J150+M150+P150)</f>
        <v>6.4619999999999997</v>
      </c>
      <c r="T150" s="3">
        <f>+(C150+E150+F150+G150+H150+I150+K150+N150+Q150)</f>
        <v>8.6760000000000002</v>
      </c>
      <c r="U150" s="3">
        <f>+(D150+E150+F150+G150+H150+I150+L150+O150+R150)</f>
        <v>13.599</v>
      </c>
    </row>
    <row r="151" spans="1:114" s="4" customFormat="1" ht="15" customHeight="1" x14ac:dyDescent="0.15">
      <c r="A151" s="2" t="s">
        <v>164</v>
      </c>
      <c r="B151" s="3">
        <v>2.09</v>
      </c>
      <c r="C151" s="3">
        <v>4.2960000000000003</v>
      </c>
      <c r="D151" s="3">
        <v>9.1999999999999993</v>
      </c>
      <c r="E151" s="3"/>
      <c r="F151" s="3"/>
      <c r="G151" s="3">
        <v>2.2509999999999999</v>
      </c>
      <c r="H151" s="3">
        <v>0.28599999999999998</v>
      </c>
      <c r="I151" s="3">
        <v>1.552</v>
      </c>
      <c r="J151" s="3"/>
      <c r="K151" s="3"/>
      <c r="L151" s="3"/>
      <c r="M151" s="3"/>
      <c r="N151" s="3"/>
      <c r="O151" s="3"/>
      <c r="P151" s="3"/>
      <c r="Q151" s="3"/>
      <c r="R151" s="3"/>
      <c r="S151" s="3">
        <f>+(B151+E151+F151+G151+H151+I151+J151+M151+P151)</f>
        <v>6.1789999999999985</v>
      </c>
      <c r="T151" s="3">
        <f>+(C151+E151+F151+G151+H151+I151+K151+N151+Q151)</f>
        <v>8.3849999999999998</v>
      </c>
      <c r="U151" s="3">
        <f>+(D151+E151+F151+G151+H151+I151+L151+O151+R151)</f>
        <v>13.288999999999998</v>
      </c>
    </row>
    <row r="152" spans="1:114" s="4" customFormat="1" ht="15" customHeight="1" x14ac:dyDescent="0.15">
      <c r="A152" s="2" t="s">
        <v>108</v>
      </c>
      <c r="B152" s="3">
        <f>2.09+0.773</f>
        <v>2.863</v>
      </c>
      <c r="C152" s="3">
        <f>4.296+1.589</f>
        <v>5.8849999999999998</v>
      </c>
      <c r="D152" s="3">
        <f>9.2+3.403</f>
        <v>12.603</v>
      </c>
      <c r="E152" s="3"/>
      <c r="F152" s="3"/>
      <c r="G152" s="3">
        <v>2</v>
      </c>
      <c r="H152" s="3">
        <v>0.28299999999999997</v>
      </c>
      <c r="I152" s="3">
        <v>1</v>
      </c>
      <c r="J152" s="3"/>
      <c r="K152" s="3"/>
      <c r="L152" s="3"/>
      <c r="M152" s="3">
        <v>1E-3</v>
      </c>
      <c r="N152" s="3">
        <v>2E-3</v>
      </c>
      <c r="O152" s="3">
        <v>4.0000000000000001E-3</v>
      </c>
      <c r="P152" s="3"/>
      <c r="Q152" s="3"/>
      <c r="R152" s="3"/>
      <c r="S152" s="3">
        <f>+(B152+E152+F152+G152+H152+I152+J152+M152+P152)</f>
        <v>6.1470000000000002</v>
      </c>
      <c r="T152" s="3">
        <f>+(C152+E152+F152+G152+H152+I152+K152+N152+Q152)</f>
        <v>9.17</v>
      </c>
      <c r="U152" s="3">
        <f>+(D152+E152+F152+G152+H152+I152+L152+O152+R152)</f>
        <v>15.889999999999999</v>
      </c>
    </row>
    <row r="153" spans="1:114" s="4" customFormat="1" ht="15" customHeight="1" x14ac:dyDescent="0.15">
      <c r="A153" s="2" t="s">
        <v>120</v>
      </c>
      <c r="B153" s="3">
        <v>2.09</v>
      </c>
      <c r="C153" s="3">
        <v>4.2960000000000003</v>
      </c>
      <c r="D153" s="3">
        <v>9.1999999999999993</v>
      </c>
      <c r="E153" s="3"/>
      <c r="F153" s="3"/>
      <c r="G153" s="3">
        <v>3</v>
      </c>
      <c r="H153" s="3">
        <v>0.3</v>
      </c>
      <c r="I153" s="3">
        <v>1.552</v>
      </c>
      <c r="J153" s="3"/>
      <c r="K153" s="3"/>
      <c r="L153" s="3"/>
      <c r="M153" s="3">
        <v>1E-3</v>
      </c>
      <c r="N153" s="3">
        <v>2E-3</v>
      </c>
      <c r="O153" s="3">
        <v>4.0000000000000001E-3</v>
      </c>
      <c r="P153" s="3"/>
      <c r="Q153" s="3"/>
      <c r="R153" s="3"/>
      <c r="S153" s="3">
        <f>+(B153+E153+F153+G153+H153+I153+J153+M153+P153)</f>
        <v>6.9430000000000005</v>
      </c>
      <c r="T153" s="3">
        <f>+(C153+E153+F153+G153+H153+I153+K153+N153+Q153)</f>
        <v>9.15</v>
      </c>
      <c r="U153" s="3">
        <f>+(D153+E153+F153+G153+H153+I153+L153+O153+R153)</f>
        <v>14.055999999999999</v>
      </c>
    </row>
    <row r="154" spans="1:114" ht="15" customHeight="1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8"/>
      <c r="T154" s="8"/>
      <c r="U154" s="8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</row>
    <row r="155" spans="1:114" ht="15" customHeight="1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8"/>
      <c r="T155" s="8"/>
      <c r="U155" s="8"/>
    </row>
    <row r="156" spans="1:114" s="9" customFormat="1" ht="15" customHeight="1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8"/>
      <c r="T156" s="8"/>
      <c r="U156" s="8"/>
    </row>
    <row r="157" spans="1:114" ht="15" customHeight="1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8"/>
      <c r="T157" s="8"/>
      <c r="U157" s="8"/>
    </row>
    <row r="158" spans="1:114" ht="15" customHeight="1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14" ht="15" customHeight="1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14" ht="15" customHeight="1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 ht="15" customHeight="1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 ht="15" customHeight="1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 ht="15" customHeight="1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</sheetData>
  <sortState ref="A3:U153">
    <sortCondition ref="A3"/>
  </sortState>
  <phoneticPr fontId="2" type="noConversion"/>
  <printOptions horizontalCentered="1" gridLines="1" gridLinesSet="0"/>
  <pageMargins left="0.25" right="0.25" top="0.75" bottom="1" header="0" footer="0"/>
  <pageSetup paperSize="5" scale="70" orientation="landscape" horizontalDpi="4294967292" verticalDpi="300" r:id="rId1"/>
  <headerFooter alignWithMargins="0">
    <oddHeader>&amp;C&amp;"Arial,Bold"SCHOOL DISTRICT LEVIES
2012 PAYABLE 2013</oddHeader>
    <oddFooter xml:space="preserve">&amp;L* Denotes not applicable to entire school district valuations or includes additional valuations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LEVIES_PAY 2013</vt:lpstr>
      <vt:lpstr>'LEVIES_PAY 2013'!Print_Area</vt:lpstr>
      <vt:lpstr>'LEVIES_PAY 2013'!Print_Area_MI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Tyler Pickner</cp:lastModifiedBy>
  <cp:lastPrinted>2014-01-13T20:40:36Z</cp:lastPrinted>
  <dcterms:created xsi:type="dcterms:W3CDTF">1998-12-21T16:29:08Z</dcterms:created>
  <dcterms:modified xsi:type="dcterms:W3CDTF">2014-01-13T20:41:05Z</dcterms:modified>
</cp:coreProperties>
</file>