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 concurrentCalc="0"/>
</workbook>
</file>

<file path=xl/calcChain.xml><?xml version="1.0" encoding="utf-8"?>
<calcChain xmlns="http://schemas.openxmlformats.org/spreadsheetml/2006/main">
  <c r="L31" i="1" l="1"/>
  <c r="L32" i="1"/>
  <c r="L33" i="1"/>
  <c r="L34" i="1"/>
  <c r="L35" i="1"/>
  <c r="B31" i="1"/>
  <c r="B32" i="1"/>
  <c r="B33" i="1"/>
  <c r="B34" i="1"/>
  <c r="B35" i="1"/>
  <c r="K31" i="1"/>
  <c r="A31" i="1"/>
  <c r="L14" i="1"/>
  <c r="L15" i="1"/>
  <c r="L16" i="1"/>
  <c r="L10" i="1"/>
  <c r="B9" i="1"/>
  <c r="L11" i="1"/>
  <c r="L17" i="1"/>
  <c r="L20" i="1"/>
  <c r="L21" i="1"/>
  <c r="L23" i="1"/>
  <c r="L25" i="1"/>
  <c r="L26" i="1"/>
  <c r="L27" i="1"/>
  <c r="L28" i="1"/>
  <c r="B16" i="1"/>
  <c r="B10" i="1"/>
  <c r="B17" i="1"/>
  <c r="B21" i="1"/>
  <c r="B23" i="1"/>
  <c r="B25" i="1"/>
  <c r="B26" i="1"/>
  <c r="B27" i="1"/>
  <c r="B28" i="1"/>
  <c r="D4" i="1"/>
  <c r="E4" i="1"/>
  <c r="F4" i="1"/>
  <c r="G4" i="1"/>
  <c r="H4" i="1"/>
  <c r="I4" i="1"/>
</calcChain>
</file>

<file path=xl/sharedStrings.xml><?xml version="1.0" encoding="utf-8"?>
<sst xmlns="http://schemas.openxmlformats.org/spreadsheetml/2006/main" count="55" uniqueCount="42">
  <si>
    <t>Change highlighted cells for different scenarios</t>
  </si>
  <si>
    <t>Target Student to Teacher Ratio</t>
  </si>
  <si>
    <t>District Size</t>
  </si>
  <si>
    <t>Teacher Ratio Range</t>
  </si>
  <si>
    <t>% at min</t>
  </si>
  <si>
    <t>SAFE Range</t>
  </si>
  <si>
    <t>SAFE Multiplier</t>
  </si>
  <si>
    <t>Formula</t>
  </si>
  <si>
    <t>Min Student Teacher Ratio</t>
  </si>
  <si>
    <t>Max Student Teacher Ratio</t>
  </si>
  <si>
    <t>Formula Number of Certified Instructional Staff FTE:</t>
  </si>
  <si>
    <t>LEP Adjustment</t>
  </si>
  <si>
    <t>State Aid Fall Enrollment Count</t>
  </si>
  <si>
    <t>Number of Eligible LEP Students</t>
  </si>
  <si>
    <t>Target Student/Certified Instructional Staff FTE Ratio</t>
  </si>
  <si>
    <t>X LEP Weight</t>
  </si>
  <si>
    <t>Formula Number of Certified Instructional Staff FTE</t>
  </si>
  <si>
    <t>Weighted LEP Student Count</t>
  </si>
  <si>
    <t>LEP Adjustment Teachers</t>
  </si>
  <si>
    <t>Formula Certified Instructional Staff Salary/Benefit Need:</t>
  </si>
  <si>
    <t>Calculation for LEP Teacher Salary/Benefit Need:</t>
  </si>
  <si>
    <t>Target Certified Instructional Staff Salary</t>
  </si>
  <si>
    <t>Target Certified Instructional Staff Benefits %</t>
  </si>
  <si>
    <t>Target Certified Instructional Staff Salaries + Benefits</t>
  </si>
  <si>
    <t>Need based on Certified Instructional Staff Salaries/Benefits</t>
  </si>
  <si>
    <t>Overhead Costs</t>
  </si>
  <si>
    <t>% of Overhead Costs</t>
  </si>
  <si>
    <t>State Aid Share for Non-Teacher Expenses</t>
  </si>
  <si>
    <t>State Aid Total Need</t>
  </si>
  <si>
    <t>Total Need/Number of Students</t>
  </si>
  <si>
    <t>Current PSA  + SSA  if applicable (FY16)</t>
  </si>
  <si>
    <t>Current LEP Adjustment</t>
  </si>
  <si>
    <t>Increase (Decrease) Over Current Formula PSA</t>
  </si>
  <si>
    <t>Increase (Decrease) Over Current Base Need</t>
  </si>
  <si>
    <t>Statewide Impact:</t>
  </si>
  <si>
    <t>LEP Statewide Impact:</t>
  </si>
  <si>
    <t>Admin/Overhead Costs</t>
  </si>
  <si>
    <t>Statewide Base Formula Need</t>
  </si>
  <si>
    <t>Statewide LEP Formula Need</t>
  </si>
  <si>
    <t>Base Need Under Current Formula (FY2016 Excl ELL)</t>
  </si>
  <si>
    <t>LEP Need Under Current Formula</t>
  </si>
  <si>
    <t>Increase (Decrease) Over 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</si>
</sst>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0"/>
    <numFmt numFmtId="167" formatCode="0.000000"/>
    <numFmt numFmtId="168" formatCode="0.0%"/>
    <numFmt numFmtId="169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44" fontId="0" fillId="2" borderId="0" xfId="2" applyFont="1" applyFill="1"/>
    <xf numFmtId="164" fontId="0" fillId="0" borderId="0" xfId="2" applyNumberFormat="1" applyFont="1"/>
    <xf numFmtId="0" fontId="0" fillId="0" borderId="0" xfId="0" applyFill="1"/>
    <xf numFmtId="44" fontId="0" fillId="0" borderId="0" xfId="2" applyFont="1" applyFill="1"/>
    <xf numFmtId="164" fontId="0" fillId="0" borderId="0" xfId="2" applyNumberFormat="1" applyFont="1" applyFill="1"/>
    <xf numFmtId="0" fontId="2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 applyFill="1" applyBorder="1"/>
    <xf numFmtId="0" fontId="0" fillId="0" borderId="4" xfId="0" applyFill="1" applyBorder="1"/>
    <xf numFmtId="165" fontId="0" fillId="2" borderId="0" xfId="1" applyNumberFormat="1" applyFont="1" applyFill="1" applyBorder="1"/>
    <xf numFmtId="0" fontId="0" fillId="2" borderId="5" xfId="0" applyFill="1" applyBorder="1"/>
    <xf numFmtId="10" fontId="0" fillId="0" borderId="0" xfId="3" applyNumberFormat="1" applyFont="1" applyFill="1" applyBorder="1"/>
    <xf numFmtId="0" fontId="0" fillId="0" borderId="0" xfId="0" applyFill="1" applyBorder="1"/>
    <xf numFmtId="166" fontId="0" fillId="0" borderId="0" xfId="0" applyNumberFormat="1" applyFill="1" applyBorder="1"/>
    <xf numFmtId="167" fontId="0" fillId="0" borderId="0" xfId="0" applyNumberFormat="1" applyFill="1" applyBorder="1"/>
    <xf numFmtId="0" fontId="0" fillId="0" borderId="5" xfId="0" applyFill="1" applyBorder="1"/>
    <xf numFmtId="0" fontId="0" fillId="0" borderId="6" xfId="0" applyBorder="1"/>
    <xf numFmtId="165" fontId="0" fillId="2" borderId="7" xfId="1" applyNumberFormat="1" applyFont="1" applyFill="1" applyBorder="1"/>
    <xf numFmtId="0" fontId="0" fillId="2" borderId="8" xfId="0" applyFill="1" applyBorder="1"/>
    <xf numFmtId="0" fontId="0" fillId="0" borderId="7" xfId="0" applyFill="1" applyBorder="1"/>
    <xf numFmtId="0" fontId="0" fillId="0" borderId="8" xfId="0" applyBorder="1"/>
    <xf numFmtId="0" fontId="0" fillId="0" borderId="0" xfId="0" applyBorder="1"/>
    <xf numFmtId="0" fontId="2" fillId="0" borderId="1" xfId="0" applyFont="1" applyBorder="1"/>
    <xf numFmtId="44" fontId="0" fillId="0" borderId="3" xfId="2" applyFont="1" applyBorder="1"/>
    <xf numFmtId="164" fontId="0" fillId="0" borderId="3" xfId="2" applyNumberFormat="1" applyFont="1" applyBorder="1"/>
    <xf numFmtId="0" fontId="0" fillId="0" borderId="4" xfId="0" applyBorder="1"/>
    <xf numFmtId="165" fontId="0" fillId="3" borderId="5" xfId="1" applyNumberFormat="1" applyFont="1" applyFill="1" applyBorder="1"/>
    <xf numFmtId="43" fontId="0" fillId="0" borderId="5" xfId="1" applyFont="1" applyBorder="1"/>
    <xf numFmtId="43" fontId="0" fillId="0" borderId="8" xfId="1" applyNumberFormat="1" applyFont="1" applyFill="1" applyBorder="1"/>
    <xf numFmtId="9" fontId="0" fillId="0" borderId="8" xfId="3" applyFont="1" applyFill="1" applyBorder="1"/>
    <xf numFmtId="43" fontId="0" fillId="0" borderId="8" xfId="1" applyNumberFormat="1" applyFont="1" applyBorder="1"/>
    <xf numFmtId="43" fontId="0" fillId="0" borderId="0" xfId="1" applyNumberFormat="1" applyFont="1" applyBorder="1"/>
    <xf numFmtId="0" fontId="0" fillId="0" borderId="9" xfId="0" applyBorder="1"/>
    <xf numFmtId="43" fontId="0" fillId="0" borderId="10" xfId="1" applyFont="1" applyBorder="1"/>
    <xf numFmtId="44" fontId="0" fillId="0" borderId="0" xfId="2" applyFont="1"/>
    <xf numFmtId="44" fontId="2" fillId="0" borderId="3" xfId="2" applyFont="1" applyBorder="1"/>
    <xf numFmtId="0" fontId="0" fillId="0" borderId="4" xfId="0" applyFont="1" applyBorder="1"/>
    <xf numFmtId="44" fontId="1" fillId="2" borderId="5" xfId="2" applyFont="1" applyFill="1" applyBorder="1"/>
    <xf numFmtId="44" fontId="1" fillId="0" borderId="5" xfId="2" applyFont="1" applyFill="1" applyBorder="1"/>
    <xf numFmtId="0" fontId="0" fillId="0" borderId="6" xfId="0" applyFont="1" applyBorder="1"/>
    <xf numFmtId="9" fontId="1" fillId="2" borderId="8" xfId="2" applyNumberFormat="1" applyFont="1" applyFill="1" applyBorder="1"/>
    <xf numFmtId="9" fontId="1" fillId="0" borderId="8" xfId="2" applyNumberFormat="1" applyFont="1" applyFill="1" applyBorder="1"/>
    <xf numFmtId="44" fontId="1" fillId="0" borderId="5" xfId="2" applyFont="1" applyBorder="1"/>
    <xf numFmtId="0" fontId="0" fillId="4" borderId="9" xfId="0" applyFont="1" applyFill="1" applyBorder="1"/>
    <xf numFmtId="44" fontId="1" fillId="4" borderId="10" xfId="2" applyFont="1" applyFill="1" applyBorder="1"/>
    <xf numFmtId="168" fontId="1" fillId="5" borderId="5" xfId="2" applyNumberFormat="1" applyFont="1" applyFill="1" applyBorder="1"/>
    <xf numFmtId="168" fontId="0" fillId="0" borderId="0" xfId="3" applyNumberFormat="1" applyFont="1" applyBorder="1"/>
    <xf numFmtId="9" fontId="0" fillId="0" borderId="5" xfId="2" applyNumberFormat="1" applyFont="1" applyFill="1" applyBorder="1"/>
    <xf numFmtId="0" fontId="0" fillId="4" borderId="1" xfId="0" applyFill="1" applyBorder="1"/>
    <xf numFmtId="44" fontId="0" fillId="4" borderId="3" xfId="0" applyNumberFormat="1" applyFill="1" applyBorder="1"/>
    <xf numFmtId="44" fontId="0" fillId="0" borderId="0" xfId="2" applyFont="1" applyBorder="1"/>
    <xf numFmtId="44" fontId="0" fillId="0" borderId="0" xfId="0" applyNumberFormat="1" applyBorder="1"/>
    <xf numFmtId="0" fontId="2" fillId="4" borderId="11" xfId="0" applyFont="1" applyFill="1" applyBorder="1"/>
    <xf numFmtId="44" fontId="2" fillId="4" borderId="11" xfId="0" applyNumberFormat="1" applyFont="1" applyFill="1" applyBorder="1"/>
    <xf numFmtId="0" fontId="0" fillId="6" borderId="7" xfId="0" applyFill="1" applyBorder="1"/>
    <xf numFmtId="44" fontId="0" fillId="6" borderId="7" xfId="2" applyFont="1" applyFill="1" applyBorder="1"/>
    <xf numFmtId="8" fontId="0" fillId="0" borderId="0" xfId="2" applyNumberFormat="1" applyFont="1" applyBorder="1"/>
    <xf numFmtId="0" fontId="2" fillId="0" borderId="12" xfId="0" applyFont="1" applyBorder="1"/>
    <xf numFmtId="164" fontId="0" fillId="0" borderId="13" xfId="2" applyNumberFormat="1" applyFont="1" applyBorder="1"/>
    <xf numFmtId="0" fontId="0" fillId="0" borderId="14" xfId="0" applyBorder="1"/>
    <xf numFmtId="164" fontId="0" fillId="0" borderId="15" xfId="2" applyNumberFormat="1" applyFont="1" applyBorder="1"/>
    <xf numFmtId="44" fontId="0" fillId="0" borderId="0" xfId="0" applyNumberFormat="1"/>
    <xf numFmtId="0" fontId="0" fillId="0" borderId="16" xfId="0" applyBorder="1"/>
    <xf numFmtId="164" fontId="0" fillId="5" borderId="17" xfId="2" applyNumberFormat="1" applyFont="1" applyFill="1" applyBorder="1"/>
    <xf numFmtId="164" fontId="0" fillId="0" borderId="17" xfId="2" applyNumberFormat="1" applyFont="1" applyBorder="1"/>
    <xf numFmtId="0" fontId="2" fillId="0" borderId="18" xfId="0" applyFont="1" applyBorder="1"/>
    <xf numFmtId="6" fontId="2" fillId="0" borderId="19" xfId="2" applyNumberFormat="1" applyFont="1" applyBorder="1"/>
    <xf numFmtId="6" fontId="0" fillId="0" borderId="0" xfId="2" applyNumberFormat="1" applyFont="1"/>
    <xf numFmtId="169" fontId="0" fillId="0" borderId="0" xfId="2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12-16%2012.5-15%20Formu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mpact by District"/>
      <sheetName val="Assumptions"/>
      <sheetName val="Impact by District_Formula"/>
      <sheetName val="Sliding Scale"/>
      <sheetName val="Sparse Districts and SSA"/>
      <sheetName val="SA v GFR"/>
      <sheetName val="Other Revenues"/>
      <sheetName val="CO"/>
      <sheetName val="Pension"/>
      <sheetName val="Levies Impact"/>
    </sheetNames>
    <sheetDataSet>
      <sheetData sheetId="0"/>
      <sheetData sheetId="1"/>
      <sheetData sheetId="2">
        <row r="153">
          <cell r="K153">
            <v>662064969.33231962</v>
          </cell>
          <cell r="L153">
            <v>2955320</v>
          </cell>
          <cell r="Q153">
            <v>567680531.16282701</v>
          </cell>
          <cell r="R153">
            <v>175980964.66047639</v>
          </cell>
          <cell r="U153">
            <v>2580783.6665546289</v>
          </cell>
          <cell r="V153">
            <v>800042.93663193483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O11" sqref="O11"/>
    </sheetView>
  </sheetViews>
  <sheetFormatPr defaultColWidth="8.77734375" defaultRowHeight="14.4" x14ac:dyDescent="0.3"/>
  <cols>
    <col min="1" max="1" width="51.6640625" customWidth="1"/>
    <col min="2" max="2" width="16.88671875" style="39" customWidth="1"/>
    <col min="3" max="3" width="17" bestFit="1" customWidth="1"/>
    <col min="4" max="4" width="7.109375" hidden="1" customWidth="1"/>
    <col min="5" max="5" width="11.109375" hidden="1" customWidth="1"/>
    <col min="6" max="6" width="10.77734375" hidden="1" customWidth="1"/>
    <col min="7" max="8" width="8.77734375" hidden="1" customWidth="1"/>
    <col min="9" max="9" width="32" hidden="1" customWidth="1"/>
    <col min="10" max="10" width="4.109375" customWidth="1"/>
    <col min="11" max="11" width="51.33203125" bestFit="1" customWidth="1"/>
    <col min="12" max="12" width="15.44140625" style="3" bestFit="1" customWidth="1"/>
  </cols>
  <sheetData>
    <row r="1" spans="1:12" x14ac:dyDescent="0.3">
      <c r="A1" s="1" t="s">
        <v>0</v>
      </c>
      <c r="B1" s="2"/>
    </row>
    <row r="2" spans="1:12" s="4" customFormat="1" x14ac:dyDescent="0.3">
      <c r="B2" s="5"/>
      <c r="L2" s="6"/>
    </row>
    <row r="3" spans="1:12" s="4" customFormat="1" ht="28.8" x14ac:dyDescent="0.3">
      <c r="A3" s="7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10"/>
      <c r="H3" s="10"/>
      <c r="I3" s="11" t="s">
        <v>7</v>
      </c>
      <c r="J3" s="12"/>
      <c r="L3" s="6"/>
    </row>
    <row r="4" spans="1:12" s="4" customFormat="1" x14ac:dyDescent="0.3">
      <c r="A4" s="13" t="s">
        <v>8</v>
      </c>
      <c r="B4" s="14">
        <v>200</v>
      </c>
      <c r="C4" s="15">
        <v>12.5</v>
      </c>
      <c r="D4" s="16">
        <f>(C4/C5)</f>
        <v>0.83333333333333337</v>
      </c>
      <c r="E4" s="17">
        <f>(B5-(B4+1))</f>
        <v>399</v>
      </c>
      <c r="F4" s="18">
        <f>ROUND((1-D4)/E4,6)</f>
        <v>4.1800000000000002E-4</v>
      </c>
      <c r="G4" s="17">
        <f>B4*F4</f>
        <v>8.3600000000000008E-2</v>
      </c>
      <c r="H4" s="19">
        <f>ROUND(D4-G4,6)</f>
        <v>0.74973299999999998</v>
      </c>
      <c r="I4" s="20" t="str">
        <f>CONCATENATE("=((",F4," X SAFE)+",H4,") X ",C5)</f>
        <v>=((0.000418 X SAFE)+0.749733) X 15</v>
      </c>
      <c r="J4" s="17"/>
      <c r="L4" s="6"/>
    </row>
    <row r="5" spans="1:12" x14ac:dyDescent="0.3">
      <c r="A5" s="21" t="s">
        <v>9</v>
      </c>
      <c r="B5" s="22">
        <v>600</v>
      </c>
      <c r="C5" s="23">
        <v>15</v>
      </c>
      <c r="D5" s="24"/>
      <c r="E5" s="24"/>
      <c r="F5" s="24"/>
      <c r="G5" s="24"/>
      <c r="H5" s="24"/>
      <c r="I5" s="25"/>
      <c r="J5" s="26"/>
    </row>
    <row r="7" spans="1:12" x14ac:dyDescent="0.3">
      <c r="A7" s="27" t="s">
        <v>10</v>
      </c>
      <c r="B7" s="28"/>
      <c r="D7" s="26"/>
      <c r="E7" s="26"/>
      <c r="K7" s="27" t="s">
        <v>11</v>
      </c>
      <c r="L7" s="29"/>
    </row>
    <row r="8" spans="1:12" x14ac:dyDescent="0.3">
      <c r="A8" s="30" t="s">
        <v>12</v>
      </c>
      <c r="B8" s="31">
        <v>2076</v>
      </c>
      <c r="C8" s="26"/>
      <c r="D8" s="26"/>
      <c r="E8" s="26"/>
      <c r="K8" s="30" t="s">
        <v>13</v>
      </c>
      <c r="L8" s="32">
        <v>9.0002378628433632</v>
      </c>
    </row>
    <row r="9" spans="1:12" x14ac:dyDescent="0.3">
      <c r="A9" s="21" t="s">
        <v>14</v>
      </c>
      <c r="B9" s="33">
        <f>IF(B8&lt;=B4,C4,IF(B8&gt;=B5,C5,((F4*B8)+H4)*C5))</f>
        <v>15</v>
      </c>
      <c r="C9" s="26"/>
      <c r="D9" s="26"/>
      <c r="E9" s="26"/>
      <c r="K9" s="21" t="s">
        <v>15</v>
      </c>
      <c r="L9" s="34">
        <v>0.25</v>
      </c>
    </row>
    <row r="10" spans="1:12" x14ac:dyDescent="0.3">
      <c r="A10" s="21" t="s">
        <v>16</v>
      </c>
      <c r="B10" s="35">
        <f>B8/B9</f>
        <v>138.4</v>
      </c>
      <c r="C10" s="26"/>
      <c r="D10" s="26"/>
      <c r="E10" s="26"/>
      <c r="K10" s="30" t="s">
        <v>17</v>
      </c>
      <c r="L10" s="32">
        <f>L8*L9</f>
        <v>2.2500594657108408</v>
      </c>
    </row>
    <row r="11" spans="1:12" ht="15" thickBot="1" x14ac:dyDescent="0.35">
      <c r="A11" s="26"/>
      <c r="B11" s="36"/>
      <c r="C11" s="26"/>
      <c r="D11" s="26"/>
      <c r="E11" s="26"/>
      <c r="K11" s="37" t="s">
        <v>18</v>
      </c>
      <c r="L11" s="38">
        <f>L10/B9</f>
        <v>0.15000396438072272</v>
      </c>
    </row>
    <row r="12" spans="1:12" ht="15" thickTop="1" x14ac:dyDescent="0.3">
      <c r="C12" s="26"/>
      <c r="D12" s="26"/>
      <c r="E12" s="26"/>
    </row>
    <row r="13" spans="1:12" x14ac:dyDescent="0.3">
      <c r="A13" s="27" t="s">
        <v>19</v>
      </c>
      <c r="B13" s="40"/>
      <c r="C13" s="26"/>
      <c r="D13" s="26"/>
      <c r="E13" s="26"/>
      <c r="K13" s="27" t="s">
        <v>20</v>
      </c>
      <c r="L13" s="40"/>
    </row>
    <row r="14" spans="1:12" x14ac:dyDescent="0.3">
      <c r="A14" s="41" t="s">
        <v>21</v>
      </c>
      <c r="B14" s="42">
        <v>48500</v>
      </c>
      <c r="C14" s="26"/>
      <c r="D14" s="26"/>
      <c r="E14" s="26"/>
      <c r="K14" s="41" t="s">
        <v>21</v>
      </c>
      <c r="L14" s="43">
        <f>B14</f>
        <v>48500</v>
      </c>
    </row>
    <row r="15" spans="1:12" x14ac:dyDescent="0.3">
      <c r="A15" s="44" t="s">
        <v>22</v>
      </c>
      <c r="B15" s="45">
        <v>0.28999999999999998</v>
      </c>
      <c r="C15" s="26"/>
      <c r="D15" s="26"/>
      <c r="E15" s="26"/>
      <c r="K15" s="44" t="s">
        <v>22</v>
      </c>
      <c r="L15" s="46">
        <f>B15</f>
        <v>0.28999999999999998</v>
      </c>
    </row>
    <row r="16" spans="1:12" x14ac:dyDescent="0.3">
      <c r="A16" s="41" t="s">
        <v>23</v>
      </c>
      <c r="B16" s="47">
        <f>ROUND(B14*(1+B15),0)</f>
        <v>62565</v>
      </c>
      <c r="C16" s="26"/>
      <c r="D16" s="26"/>
      <c r="E16" s="26"/>
      <c r="K16" s="41" t="s">
        <v>23</v>
      </c>
      <c r="L16" s="47">
        <f>ROUND(L14*(1+L15),0)</f>
        <v>62565</v>
      </c>
    </row>
    <row r="17" spans="1:12" ht="15" thickBot="1" x14ac:dyDescent="0.35">
      <c r="A17" s="48" t="s">
        <v>24</v>
      </c>
      <c r="B17" s="49">
        <f>B16*B10</f>
        <v>8658996</v>
      </c>
      <c r="C17" s="26"/>
      <c r="D17" s="26"/>
      <c r="E17" s="26"/>
      <c r="K17" s="48" t="s">
        <v>24</v>
      </c>
      <c r="L17" s="49">
        <f>L16*L11</f>
        <v>9384.9980314799177</v>
      </c>
    </row>
    <row r="18" spans="1:12" ht="15" thickTop="1" x14ac:dyDescent="0.3">
      <c r="C18" s="26"/>
      <c r="D18" s="26"/>
      <c r="E18" s="26"/>
      <c r="L18" s="39"/>
    </row>
    <row r="19" spans="1:12" x14ac:dyDescent="0.3">
      <c r="A19" s="27" t="s">
        <v>25</v>
      </c>
      <c r="B19" s="40"/>
      <c r="C19" s="26"/>
      <c r="D19" s="26"/>
      <c r="E19" s="26"/>
      <c r="K19" s="27" t="s">
        <v>25</v>
      </c>
      <c r="L19" s="40"/>
    </row>
    <row r="20" spans="1:12" x14ac:dyDescent="0.3">
      <c r="A20" s="41" t="s">
        <v>26</v>
      </c>
      <c r="B20" s="50">
        <v>0.31</v>
      </c>
      <c r="C20" s="51"/>
      <c r="D20" s="26"/>
      <c r="E20" s="26"/>
      <c r="K20" s="41" t="s">
        <v>26</v>
      </c>
      <c r="L20" s="52">
        <f>B20</f>
        <v>0.31</v>
      </c>
    </row>
    <row r="21" spans="1:12" x14ac:dyDescent="0.3">
      <c r="A21" s="53" t="s">
        <v>27</v>
      </c>
      <c r="B21" s="54">
        <f>B17*B20</f>
        <v>2684288.7599999998</v>
      </c>
      <c r="C21" s="55"/>
      <c r="D21" s="26"/>
      <c r="E21" s="26"/>
      <c r="K21" s="53" t="s">
        <v>27</v>
      </c>
      <c r="L21" s="54">
        <f>L17*L20</f>
        <v>2909.3493897587746</v>
      </c>
    </row>
    <row r="22" spans="1:12" x14ac:dyDescent="0.3">
      <c r="A22" s="17"/>
      <c r="B22" s="56"/>
      <c r="C22" s="26"/>
      <c r="D22" s="26"/>
      <c r="E22" s="26"/>
      <c r="K22" s="17"/>
      <c r="L22" s="56"/>
    </row>
    <row r="23" spans="1:12" ht="15" thickBot="1" x14ac:dyDescent="0.35">
      <c r="A23" s="57" t="s">
        <v>28</v>
      </c>
      <c r="B23" s="58">
        <f>B17+B21</f>
        <v>11343284.76</v>
      </c>
      <c r="E23" s="39"/>
      <c r="K23" s="57" t="s">
        <v>28</v>
      </c>
      <c r="L23" s="58">
        <f>L17+L21</f>
        <v>12294.347421238692</v>
      </c>
    </row>
    <row r="24" spans="1:12" ht="15" thickTop="1" x14ac:dyDescent="0.3">
      <c r="D24" s="26"/>
      <c r="E24" s="26"/>
    </row>
    <row r="25" spans="1:12" x14ac:dyDescent="0.3">
      <c r="A25" t="s">
        <v>29</v>
      </c>
      <c r="B25" s="55">
        <f>B23/B8</f>
        <v>5464.01</v>
      </c>
      <c r="K25" t="s">
        <v>29</v>
      </c>
      <c r="L25" s="55">
        <f>L23/L8</f>
        <v>1366.0025000000001</v>
      </c>
    </row>
    <row r="26" spans="1:12" x14ac:dyDescent="0.3">
      <c r="A26" s="59" t="s">
        <v>30</v>
      </c>
      <c r="B26" s="60">
        <f>4876.76+(IF(B8&lt;600,((-0.0005*B8)+0.3)*4237.72,0))</f>
        <v>4876.76</v>
      </c>
      <c r="K26" s="59" t="s">
        <v>31</v>
      </c>
      <c r="L26" s="60">
        <f>4876.76*0.25</f>
        <v>1219.19</v>
      </c>
    </row>
    <row r="27" spans="1:12" x14ac:dyDescent="0.3">
      <c r="A27" t="s">
        <v>32</v>
      </c>
      <c r="B27" s="61">
        <f>B25-B26</f>
        <v>587.25</v>
      </c>
      <c r="K27" t="s">
        <v>32</v>
      </c>
      <c r="L27" s="61">
        <f>L25-L26</f>
        <v>146.8125</v>
      </c>
    </row>
    <row r="28" spans="1:12" x14ac:dyDescent="0.3">
      <c r="A28" t="s">
        <v>33</v>
      </c>
      <c r="B28" s="39">
        <f>B27*B8</f>
        <v>1219131</v>
      </c>
      <c r="K28" t="s">
        <v>33</v>
      </c>
      <c r="L28" s="39">
        <f>L27*L8</f>
        <v>1321.3474212386914</v>
      </c>
    </row>
    <row r="29" spans="1:12" ht="15" thickBot="1" x14ac:dyDescent="0.35"/>
    <row r="30" spans="1:12" x14ac:dyDescent="0.3">
      <c r="A30" s="62" t="s">
        <v>34</v>
      </c>
      <c r="B30" s="63"/>
      <c r="K30" s="62" t="s">
        <v>35</v>
      </c>
      <c r="L30" s="63"/>
    </row>
    <row r="31" spans="1:12" x14ac:dyDescent="0.3">
      <c r="A31" s="64" t="str">
        <f>A17</f>
        <v>Need based on Certified Instructional Staff Salaries/Benefits</v>
      </c>
      <c r="B31" s="65">
        <f>'[1]Impact by District_Formula'!Q153</f>
        <v>567680531.16282701</v>
      </c>
      <c r="C31" s="66"/>
      <c r="K31" s="64" t="str">
        <f>K17</f>
        <v>Need based on Certified Instructional Staff Salaries/Benefits</v>
      </c>
      <c r="L31" s="65">
        <f>'[1]Impact by District_Formula'!U153</f>
        <v>2580783.6665546289</v>
      </c>
    </row>
    <row r="32" spans="1:12" x14ac:dyDescent="0.3">
      <c r="A32" s="67" t="s">
        <v>36</v>
      </c>
      <c r="B32" s="68">
        <f>'[1]Impact by District_Formula'!R153</f>
        <v>175980964.66047639</v>
      </c>
      <c r="C32" s="3"/>
      <c r="K32" s="67" t="s">
        <v>36</v>
      </c>
      <c r="L32" s="69">
        <f>'[1]Impact by District_Formula'!V153</f>
        <v>800042.93663193483</v>
      </c>
    </row>
    <row r="33" spans="1:12" x14ac:dyDescent="0.3">
      <c r="A33" s="64" t="s">
        <v>37</v>
      </c>
      <c r="B33" s="65">
        <f>B31+B32</f>
        <v>743661495.82330346</v>
      </c>
      <c r="C33" s="66"/>
      <c r="K33" s="64" t="s">
        <v>38</v>
      </c>
      <c r="L33" s="65">
        <f>L31+L32</f>
        <v>3380826.6031865636</v>
      </c>
    </row>
    <row r="34" spans="1:12" x14ac:dyDescent="0.3">
      <c r="A34" s="64" t="s">
        <v>39</v>
      </c>
      <c r="B34" s="65">
        <f>'[1]Impact by District_Formula'!K153</f>
        <v>662064969.33231962</v>
      </c>
      <c r="K34" s="64" t="s">
        <v>40</v>
      </c>
      <c r="L34" s="65">
        <f>'[1]Impact by District_Formula'!L153</f>
        <v>2955320</v>
      </c>
    </row>
    <row r="35" spans="1:12" ht="15" thickBot="1" x14ac:dyDescent="0.35">
      <c r="A35" s="70" t="s">
        <v>41</v>
      </c>
      <c r="B35" s="71">
        <f>B33-B34</f>
        <v>81596526.490983844</v>
      </c>
      <c r="K35" s="70" t="s">
        <v>41</v>
      </c>
      <c r="L35" s="71">
        <f>L33-L34</f>
        <v>425506.60318656359</v>
      </c>
    </row>
    <row r="36" spans="1:12" ht="15" thickTop="1" x14ac:dyDescent="0.3">
      <c r="B36" s="72"/>
    </row>
    <row r="37" spans="1:12" x14ac:dyDescent="0.3">
      <c r="B37" s="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Pickner</dc:creator>
  <cp:lastModifiedBy>Tyler Pickner</cp:lastModifiedBy>
  <dcterms:created xsi:type="dcterms:W3CDTF">2016-01-13T16:58:00Z</dcterms:created>
  <dcterms:modified xsi:type="dcterms:W3CDTF">2016-01-13T17:01:26Z</dcterms:modified>
</cp:coreProperties>
</file>